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Planning équipe" sheetId="3" state="visible" r:id="rId3"/>
    <sheet xmlns:r="http://schemas.openxmlformats.org/officeDocument/2006/relationships" name="Calendrier annuel" sheetId="4" state="visible" r:id="rId4"/>
  </sheets>
  <definedNames>
    <definedName name="Feries">'Paramètres'!$A$8:$A$45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mmmm yyyy"/>
    <numFmt numFmtId="167" formatCode="d"/>
    <numFmt numFmtId="168" formatCode="ddd"/>
    <numFmt numFmtId="169" formatCode="mmmm"/>
  </numFmts>
  <fonts count="1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color rgb="000000FF"/>
    </font>
    <font>
      <name val="Arial"/>
    </font>
    <font>
      <name val="Arial"/>
      <b val="1"/>
    </font>
    <font>
      <name val="Arial"/>
      <b val="1"/>
      <color rgb="00FFFFFF"/>
    </font>
    <font>
      <name val="Arial"/>
      <i val="1"/>
      <sz val="9"/>
    </font>
    <font>
      <name val="Arial"/>
      <b val="1"/>
      <sz val="14"/>
    </font>
    <font>
      <name val="Arial"/>
      <b val="1"/>
      <color rgb="001F3864"/>
      <sz val="12"/>
    </font>
    <font>
      <name val="Arial"/>
      <b val="1"/>
      <color rgb="00FFFFFF"/>
      <sz val="9"/>
    </font>
    <font>
      <name val="Arial"/>
      <sz val="9"/>
    </font>
    <font>
      <name val="Arial"/>
      <color rgb="00808080"/>
      <sz val="8"/>
    </font>
    <font>
      <name val="Arial"/>
      <b val="1"/>
      <sz val="9"/>
    </font>
    <font>
      <name val="Arial"/>
      <b val="1"/>
      <color rgb="001F3864"/>
      <sz val="16"/>
    </font>
    <font>
      <name val="Arial"/>
      <b val="1"/>
      <color rgb="001F3864"/>
      <sz val="9"/>
    </font>
    <font>
      <name val="Arial"/>
      <color rgb="00FFFFFF"/>
      <sz val="8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0" fontId="6" fillId="3" borderId="0" pivotButton="0" quotePrefix="0" xfId="0"/>
    <xf numFmtId="165" fontId="3" fillId="2" borderId="0" pivotButton="0" quotePrefix="0" xfId="0"/>
    <xf numFmtId="0" fontId="5" fillId="0" borderId="0" pivotButton="0" quotePrefix="0" xfId="0"/>
    <xf numFmtId="165" fontId="3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6" fontId="9" fillId="0" borderId="0" applyAlignment="1" pivotButton="0" quotePrefix="0" xfId="0">
      <alignment horizontal="left"/>
    </xf>
    <xf numFmtId="0" fontId="12" fillId="0" borderId="0" pivotButton="0" quotePrefix="0" xfId="0"/>
    <xf numFmtId="167" fontId="10" fillId="3" borderId="0" applyAlignment="1" pivotButton="0" quotePrefix="0" xfId="0">
      <alignment horizontal="center"/>
    </xf>
    <xf numFmtId="168" fontId="10" fillId="3" borderId="0" applyAlignment="1" pivotButton="0" quotePrefix="0" xfId="0">
      <alignment horizontal="center"/>
    </xf>
    <xf numFmtId="0" fontId="10" fillId="3" borderId="0" applyAlignment="1" pivotButton="0" quotePrefix="0" xfId="0">
      <alignment horizontal="center" wrapText="1"/>
    </xf>
    <xf numFmtId="0" fontId="11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13" fillId="0" borderId="0" pivotButton="0" quotePrefix="0" xfId="0"/>
    <xf numFmtId="0" fontId="14" fillId="0" borderId="0" applyAlignment="1" pivotButton="0" quotePrefix="0" xfId="0">
      <alignment horizontal="left"/>
    </xf>
    <xf numFmtId="169" fontId="6" fillId="3" borderId="0" applyAlignment="1" pivotButton="0" quotePrefix="0" xfId="0">
      <alignment horizontal="center"/>
    </xf>
    <xf numFmtId="0" fontId="16" fillId="0" borderId="0" pivotButton="0" quotePrefix="0" xfId="0"/>
    <xf numFmtId="0" fontId="15" fillId="0" borderId="0" applyAlignment="1" pivotButton="0" quotePrefix="0" xfId="0">
      <alignment horizontal="center"/>
    </xf>
    <xf numFmtId="167" fontId="11" fillId="0" borderId="0" applyAlignment="1" pivotButton="0" quotePrefix="0" xfId="0">
      <alignment horizontal="center"/>
    </xf>
    <xf numFmtId="167" fontId="11" fillId="4" borderId="0" applyAlignment="1" pivotButton="0" quotePrefix="0" xfId="0">
      <alignment horizontal="center"/>
    </xf>
  </cellXfs>
  <cellStyles count="1">
    <cellStyle name="Normal" xfId="0" builtinId="0" hidden="0"/>
  </cellStyles>
  <dxfs count="12">
    <dxf>
      <fill>
        <patternFill patternType="solid">
          <fgColor rgb="00BFBFBF"/>
          <bgColor rgb="00BFBFBF"/>
        </patternFill>
      </fill>
    </dxf>
    <dxf>
      <fill>
        <patternFill patternType="solid">
          <fgColor rgb="00D9D9D9"/>
          <bgColor rgb="00D9D9D9"/>
        </patternFill>
      </fill>
    </dxf>
    <dxf>
      <fill>
        <patternFill patternType="solid">
          <fgColor rgb="00E2EFDA"/>
          <bgColor rgb="00E2EFDA"/>
        </patternFill>
      </fill>
    </dxf>
    <dxf>
      <fill>
        <patternFill patternType="solid">
          <fgColor rgb="00DDEBF7"/>
          <bgColor rgb="00DDEBF7"/>
        </patternFill>
      </fill>
    </dxf>
    <dxf>
      <fill>
        <patternFill patternType="solid">
          <fgColor rgb="00C6E0B4"/>
          <bgColor rgb="00C6E0B4"/>
        </patternFill>
      </fill>
    </dxf>
    <dxf>
      <fill>
        <patternFill patternType="solid">
          <fgColor rgb="00FCE4D6"/>
          <bgColor rgb="00FCE4D6"/>
        </patternFill>
      </fill>
    </dxf>
    <dxf>
      <fill>
        <patternFill patternType="solid">
          <fgColor rgb="00FFE699"/>
          <bgColor rgb="00FFE699"/>
        </patternFill>
      </fill>
    </dxf>
    <dxf>
      <fill>
        <patternFill patternType="solid">
          <fgColor rgb="00F8CBAD"/>
          <bgColor rgb="00F8CBAD"/>
        </patternFill>
      </fill>
    </dxf>
    <dxf>
      <font>
        <b val="1"/>
        <color rgb="009C0006"/>
      </font>
      <fill>
        <patternFill patternType="solid">
          <fgColor rgb="00FF7C80"/>
          <bgColor rgb="00FF7C80"/>
        </patternFill>
      </fill>
    </dxf>
    <dxf>
      <border>
        <left style="medium">
          <color rgb="00C00000"/>
        </left>
        <right style="medium">
          <color rgb="00C00000"/>
        </right>
      </border>
    </dxf>
    <dxf>
      <font>
        <b val="1"/>
      </font>
      <fill>
        <patternFill patternType="solid">
          <fgColor rgb="00BFBFBF"/>
          <bgColor rgb="00BFBFBF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Modèle de planning d'équipe et calendrier Excel — CNFN (cnfn.fr)</t>
        </is>
      </c>
    </row>
    <row r="2">
      <c r="A2" s="2" t="inlineStr"/>
    </row>
    <row r="3">
      <c r="A3" s="2" t="inlineStr">
        <is>
          <t>1. Onglet Paramètres : saisissez dans les cellules jaunes l'année du calendrier, le premier jour du mois à planifier et l'effectif minimum sur site.</t>
        </is>
      </c>
    </row>
    <row r="4">
      <c r="A4" s="2" t="inlineStr">
        <is>
          <t>2. Onglet Paramètres : complétez si besoin la liste des jours fériés (plage nommée Feries). Alsace-Moselle : ajoutez le Vendredi saint et le 26 décembre.</t>
        </is>
      </c>
    </row>
    <row r="5">
      <c r="A5" s="2" t="inlineStr">
        <is>
          <t>3. Onglet Planning équipe : remplacez les prénoms fictifs par ceux de votre équipe, puis choisissez un code par jour dans la liste déroulante.</t>
        </is>
      </c>
    </row>
    <row r="6">
      <c r="A6" s="2" t="inlineStr">
        <is>
          <t>4. Les week-ends et jours fériés se grisent seuls, la colonne du jour est encadrée, la ligne Présents sur site passe en rouge sous l'effectif minimum.</t>
        </is>
      </c>
    </row>
    <row r="7">
      <c r="A7" s="2" t="inlineStr">
        <is>
          <t>5. Onglet Calendrier annuel : il se recalcule entièrement quand vous changez l'année dans Paramètres.</t>
        </is>
      </c>
    </row>
    <row r="8">
      <c r="A8" s="2" t="inlineStr">
        <is>
          <t>6. Pour un planning partagé : enregistrez le fichier sur OneDrive ou SharePoint et partagez-le (coédition, Microsoft 365).</t>
        </is>
      </c>
    </row>
    <row r="9">
      <c r="A9" s="2" t="inlineStr"/>
    </row>
    <row r="10">
      <c r="A10" s="2" t="inlineStr">
        <is>
          <t>Codes : P = présent sur site, T = télétravail, CP = congés payés, RTT = repos, F = formation, A = absence.</t>
        </is>
      </c>
    </row>
    <row r="11">
      <c r="A11" s="2" t="inlineStr">
        <is>
          <t>Les données de l'exemple (janvier 2027) sont fictives.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8" customWidth="1" min="4" max="4"/>
    <col width="20" customWidth="1" min="5" max="5"/>
  </cols>
  <sheetData>
    <row r="1">
      <c r="A1" s="1" t="inlineStr">
        <is>
          <t>Paramètres du planning</t>
        </is>
      </c>
    </row>
    <row r="2">
      <c r="A2" s="3" t="inlineStr">
        <is>
          <t>Année du calendrier annuel</t>
        </is>
      </c>
      <c r="B2" s="4" t="n">
        <v>2027</v>
      </c>
      <c r="D2" s="5" t="inlineStr">
        <is>
          <t>Code</t>
        </is>
      </c>
      <c r="E2" s="5" t="inlineStr">
        <is>
          <t>Signification</t>
        </is>
      </c>
    </row>
    <row r="3">
      <c r="A3" s="3" t="inlineStr">
        <is>
          <t>Premier jour du mois à planifier</t>
        </is>
      </c>
      <c r="B3" s="6" t="n">
        <v>46388</v>
      </c>
      <c r="D3" s="7" t="inlineStr">
        <is>
          <t>P</t>
        </is>
      </c>
      <c r="E3" s="3" t="inlineStr">
        <is>
          <t>Présent sur site</t>
        </is>
      </c>
    </row>
    <row r="4">
      <c r="A4" s="3" t="inlineStr">
        <is>
          <t>Effectif minimum sur site</t>
        </is>
      </c>
      <c r="B4" s="4" t="n">
        <v>4</v>
      </c>
      <c r="D4" s="7" t="inlineStr">
        <is>
          <t>T</t>
        </is>
      </c>
      <c r="E4" s="3" t="inlineStr">
        <is>
          <t>Télétravail</t>
        </is>
      </c>
    </row>
    <row r="5">
      <c r="D5" s="7" t="inlineStr">
        <is>
          <t>CP</t>
        </is>
      </c>
      <c r="E5" s="3" t="inlineStr">
        <is>
          <t>Congés payés</t>
        </is>
      </c>
    </row>
    <row r="6">
      <c r="D6" s="7" t="inlineStr">
        <is>
          <t>RTT</t>
        </is>
      </c>
      <c r="E6" s="3" t="inlineStr">
        <is>
          <t>Repos RTT</t>
        </is>
      </c>
    </row>
    <row r="7">
      <c r="A7" s="5" t="inlineStr">
        <is>
          <t>Jour férié</t>
        </is>
      </c>
      <c r="B7" s="5" t="inlineStr">
        <is>
          <t>Libellé</t>
        </is>
      </c>
      <c r="D7" s="7" t="inlineStr">
        <is>
          <t>F</t>
        </is>
      </c>
      <c r="E7" s="3" t="inlineStr">
        <is>
          <t>Formation</t>
        </is>
      </c>
    </row>
    <row r="8">
      <c r="A8" s="8" t="n">
        <v>46023</v>
      </c>
      <c r="B8" s="3" t="inlineStr">
        <is>
          <t>Jour de l'an</t>
        </is>
      </c>
      <c r="D8" s="7" t="inlineStr">
        <is>
          <t>A</t>
        </is>
      </c>
      <c r="E8" s="3" t="inlineStr">
        <is>
          <t>Absence</t>
        </is>
      </c>
    </row>
    <row r="9">
      <c r="A9" s="8" t="n">
        <v>46118</v>
      </c>
      <c r="B9" s="3" t="inlineStr">
        <is>
          <t>Lundi de Pâques</t>
        </is>
      </c>
    </row>
    <row r="10">
      <c r="A10" s="8" t="n">
        <v>46143</v>
      </c>
      <c r="B10" s="3" t="inlineStr">
        <is>
          <t>Fête du Travail</t>
        </is>
      </c>
    </row>
    <row r="11">
      <c r="A11" s="8" t="n">
        <v>46150</v>
      </c>
      <c r="B11" s="3" t="inlineStr">
        <is>
          <t>Victoire 1945</t>
        </is>
      </c>
    </row>
    <row r="12">
      <c r="A12" s="8" t="n">
        <v>46156</v>
      </c>
      <c r="B12" s="3" t="inlineStr">
        <is>
          <t>Ascension</t>
        </is>
      </c>
    </row>
    <row r="13">
      <c r="A13" s="8" t="n">
        <v>46167</v>
      </c>
      <c r="B13" s="3" t="inlineStr">
        <is>
          <t>Lundi de Pentecôte</t>
        </is>
      </c>
    </row>
    <row r="14">
      <c r="A14" s="8" t="n">
        <v>46217</v>
      </c>
      <c r="B14" s="3" t="inlineStr">
        <is>
          <t>Fête nationale</t>
        </is>
      </c>
    </row>
    <row r="15">
      <c r="A15" s="8" t="n">
        <v>46249</v>
      </c>
      <c r="B15" s="3" t="inlineStr">
        <is>
          <t>Assomption</t>
        </is>
      </c>
    </row>
    <row r="16">
      <c r="A16" s="8" t="n">
        <v>46327</v>
      </c>
      <c r="B16" s="3" t="inlineStr">
        <is>
          <t>Toussaint</t>
        </is>
      </c>
    </row>
    <row r="17">
      <c r="A17" s="8" t="n">
        <v>46337</v>
      </c>
      <c r="B17" s="3" t="inlineStr">
        <is>
          <t>Armistice 1918</t>
        </is>
      </c>
    </row>
    <row r="18">
      <c r="A18" s="8" t="n">
        <v>46381</v>
      </c>
      <c r="B18" s="3" t="inlineStr">
        <is>
          <t>Noël</t>
        </is>
      </c>
    </row>
    <row r="19">
      <c r="A19" s="8" t="n">
        <v>46388</v>
      </c>
      <c r="B19" s="3" t="inlineStr">
        <is>
          <t>Jour de l'an</t>
        </is>
      </c>
    </row>
    <row r="20">
      <c r="A20" s="8" t="n">
        <v>46475</v>
      </c>
      <c r="B20" s="3" t="inlineStr">
        <is>
          <t>Lundi de Pâques</t>
        </is>
      </c>
    </row>
    <row r="21">
      <c r="A21" s="8" t="n">
        <v>46508</v>
      </c>
      <c r="B21" s="3" t="inlineStr">
        <is>
          <t>Fête du Travail</t>
        </is>
      </c>
    </row>
    <row r="22">
      <c r="A22" s="8" t="n">
        <v>46513</v>
      </c>
      <c r="B22" s="3" t="inlineStr">
        <is>
          <t>Ascension</t>
        </is>
      </c>
    </row>
    <row r="23">
      <c r="A23" s="8" t="n">
        <v>46515</v>
      </c>
      <c r="B23" s="3" t="inlineStr">
        <is>
          <t>Victoire 1945</t>
        </is>
      </c>
    </row>
    <row r="24">
      <c r="A24" s="8" t="n">
        <v>46524</v>
      </c>
      <c r="B24" s="3" t="inlineStr">
        <is>
          <t>Lundi de Pentecôte</t>
        </is>
      </c>
    </row>
    <row r="25">
      <c r="A25" s="8" t="n">
        <v>46582</v>
      </c>
      <c r="B25" s="3" t="inlineStr">
        <is>
          <t>Fête nationale</t>
        </is>
      </c>
    </row>
    <row r="26">
      <c r="A26" s="8" t="n">
        <v>46614</v>
      </c>
      <c r="B26" s="3" t="inlineStr">
        <is>
          <t>Assomption</t>
        </is>
      </c>
    </row>
    <row r="27">
      <c r="A27" s="8" t="n">
        <v>46692</v>
      </c>
      <c r="B27" s="3" t="inlineStr">
        <is>
          <t>Toussaint</t>
        </is>
      </c>
    </row>
    <row r="28">
      <c r="A28" s="8" t="n">
        <v>46702</v>
      </c>
      <c r="B28" s="3" t="inlineStr">
        <is>
          <t>Armistice 1918</t>
        </is>
      </c>
    </row>
    <row r="29">
      <c r="A29" s="8" t="n">
        <v>46746</v>
      </c>
      <c r="B29" s="3" t="inlineStr">
        <is>
          <t>Noël</t>
        </is>
      </c>
    </row>
    <row r="30">
      <c r="A30" s="8" t="n">
        <v>46753</v>
      </c>
      <c r="B30" s="3" t="inlineStr">
        <is>
          <t>Jour de l'an</t>
        </is>
      </c>
    </row>
    <row r="31">
      <c r="A31" s="8" t="n">
        <v>46860</v>
      </c>
      <c r="B31" s="3" t="inlineStr">
        <is>
          <t>Lundi de Pâques</t>
        </is>
      </c>
    </row>
    <row r="32">
      <c r="A32" s="8" t="n">
        <v>46874</v>
      </c>
      <c r="B32" s="3" t="inlineStr">
        <is>
          <t>Fête du Travail</t>
        </is>
      </c>
    </row>
    <row r="33">
      <c r="A33" s="8" t="n">
        <v>46881</v>
      </c>
      <c r="B33" s="3" t="inlineStr">
        <is>
          <t>Victoire 1945</t>
        </is>
      </c>
    </row>
    <row r="34">
      <c r="A34" s="8" t="n">
        <v>46898</v>
      </c>
      <c r="B34" s="3" t="inlineStr">
        <is>
          <t>Ascension</t>
        </is>
      </c>
    </row>
    <row r="35">
      <c r="A35" s="8" t="n">
        <v>46909</v>
      </c>
      <c r="B35" s="3" t="inlineStr">
        <is>
          <t>Lundi de Pentecôte</t>
        </is>
      </c>
    </row>
    <row r="36">
      <c r="A36" s="8" t="n">
        <v>46948</v>
      </c>
      <c r="B36" s="3" t="inlineStr">
        <is>
          <t>Fête nationale</t>
        </is>
      </c>
    </row>
    <row r="37">
      <c r="A37" s="8" t="n">
        <v>46980</v>
      </c>
      <c r="B37" s="3" t="inlineStr">
        <is>
          <t>Assomption</t>
        </is>
      </c>
    </row>
    <row r="38">
      <c r="A38" s="8" t="n">
        <v>47058</v>
      </c>
      <c r="B38" s="3" t="inlineStr">
        <is>
          <t>Toussaint</t>
        </is>
      </c>
    </row>
    <row r="39">
      <c r="A39" s="8" t="n">
        <v>47068</v>
      </c>
      <c r="B39" s="3" t="inlineStr">
        <is>
          <t>Armistice 1918</t>
        </is>
      </c>
    </row>
    <row r="40">
      <c r="A40" s="8" t="n">
        <v>47112</v>
      </c>
      <c r="B40" s="3" t="inlineStr">
        <is>
          <t>Noël</t>
        </is>
      </c>
    </row>
    <row r="47">
      <c r="A47" s="9" t="inlineStr">
        <is>
          <t>Source : article L3133-1 du Code du travail (11 jours fériés). Dates de Pâques calculées. Lignes vides : ajoutez vos jours locaux.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11" customWidth="1" min="34" max="34"/>
    <col width="11" customWidth="1" min="35" max="35"/>
    <col width="11" customWidth="1" min="36" max="36"/>
    <col width="11" customWidth="1" min="37" max="37"/>
  </cols>
  <sheetData>
    <row r="1">
      <c r="A1" s="10" t="inlineStr">
        <is>
          <t>Planning d'équipe</t>
        </is>
      </c>
    </row>
    <row r="2">
      <c r="A2" s="11">
        <f>'Paramètres'!B3</f>
        <v/>
      </c>
    </row>
    <row r="3" hidden="1">
      <c r="A3" s="12" t="inlineStr">
        <is>
          <t>Jour ouvré (1/0)</t>
        </is>
      </c>
      <c r="B3" s="12">
        <f>IF(B4="",0,IF(WEEKDAY(B4,2)&gt;5,0,IF(COUNTIF(Feries,B4)&gt;0,0,1)))</f>
        <v/>
      </c>
      <c r="C3" s="12">
        <f>IF(C4="",0,IF(WEEKDAY(C4,2)&gt;5,0,IF(COUNTIF(Feries,C4)&gt;0,0,1)))</f>
        <v/>
      </c>
      <c r="D3" s="12">
        <f>IF(D4="",0,IF(WEEKDAY(D4,2)&gt;5,0,IF(COUNTIF(Feries,D4)&gt;0,0,1)))</f>
        <v/>
      </c>
      <c r="E3" s="12">
        <f>IF(E4="",0,IF(WEEKDAY(E4,2)&gt;5,0,IF(COUNTIF(Feries,E4)&gt;0,0,1)))</f>
        <v/>
      </c>
      <c r="F3" s="12">
        <f>IF(F4="",0,IF(WEEKDAY(F4,2)&gt;5,0,IF(COUNTIF(Feries,F4)&gt;0,0,1)))</f>
        <v/>
      </c>
      <c r="G3" s="12">
        <f>IF(G4="",0,IF(WEEKDAY(G4,2)&gt;5,0,IF(COUNTIF(Feries,G4)&gt;0,0,1)))</f>
        <v/>
      </c>
      <c r="H3" s="12">
        <f>IF(H4="",0,IF(WEEKDAY(H4,2)&gt;5,0,IF(COUNTIF(Feries,H4)&gt;0,0,1)))</f>
        <v/>
      </c>
      <c r="I3" s="12">
        <f>IF(I4="",0,IF(WEEKDAY(I4,2)&gt;5,0,IF(COUNTIF(Feries,I4)&gt;0,0,1)))</f>
        <v/>
      </c>
      <c r="J3" s="12">
        <f>IF(J4="",0,IF(WEEKDAY(J4,2)&gt;5,0,IF(COUNTIF(Feries,J4)&gt;0,0,1)))</f>
        <v/>
      </c>
      <c r="K3" s="12">
        <f>IF(K4="",0,IF(WEEKDAY(K4,2)&gt;5,0,IF(COUNTIF(Feries,K4)&gt;0,0,1)))</f>
        <v/>
      </c>
      <c r="L3" s="12">
        <f>IF(L4="",0,IF(WEEKDAY(L4,2)&gt;5,0,IF(COUNTIF(Feries,L4)&gt;0,0,1)))</f>
        <v/>
      </c>
      <c r="M3" s="12">
        <f>IF(M4="",0,IF(WEEKDAY(M4,2)&gt;5,0,IF(COUNTIF(Feries,M4)&gt;0,0,1)))</f>
        <v/>
      </c>
      <c r="N3" s="12">
        <f>IF(N4="",0,IF(WEEKDAY(N4,2)&gt;5,0,IF(COUNTIF(Feries,N4)&gt;0,0,1)))</f>
        <v/>
      </c>
      <c r="O3" s="12">
        <f>IF(O4="",0,IF(WEEKDAY(O4,2)&gt;5,0,IF(COUNTIF(Feries,O4)&gt;0,0,1)))</f>
        <v/>
      </c>
      <c r="P3" s="12">
        <f>IF(P4="",0,IF(WEEKDAY(P4,2)&gt;5,0,IF(COUNTIF(Feries,P4)&gt;0,0,1)))</f>
        <v/>
      </c>
      <c r="Q3" s="12">
        <f>IF(Q4="",0,IF(WEEKDAY(Q4,2)&gt;5,0,IF(COUNTIF(Feries,Q4)&gt;0,0,1)))</f>
        <v/>
      </c>
      <c r="R3" s="12">
        <f>IF(R4="",0,IF(WEEKDAY(R4,2)&gt;5,0,IF(COUNTIF(Feries,R4)&gt;0,0,1)))</f>
        <v/>
      </c>
      <c r="S3" s="12">
        <f>IF(S4="",0,IF(WEEKDAY(S4,2)&gt;5,0,IF(COUNTIF(Feries,S4)&gt;0,0,1)))</f>
        <v/>
      </c>
      <c r="T3" s="12">
        <f>IF(T4="",0,IF(WEEKDAY(T4,2)&gt;5,0,IF(COUNTIF(Feries,T4)&gt;0,0,1)))</f>
        <v/>
      </c>
      <c r="U3" s="12">
        <f>IF(U4="",0,IF(WEEKDAY(U4,2)&gt;5,0,IF(COUNTIF(Feries,U4)&gt;0,0,1)))</f>
        <v/>
      </c>
      <c r="V3" s="12">
        <f>IF(V4="",0,IF(WEEKDAY(V4,2)&gt;5,0,IF(COUNTIF(Feries,V4)&gt;0,0,1)))</f>
        <v/>
      </c>
      <c r="W3" s="12">
        <f>IF(W4="",0,IF(WEEKDAY(W4,2)&gt;5,0,IF(COUNTIF(Feries,W4)&gt;0,0,1)))</f>
        <v/>
      </c>
      <c r="X3" s="12">
        <f>IF(X4="",0,IF(WEEKDAY(X4,2)&gt;5,0,IF(COUNTIF(Feries,X4)&gt;0,0,1)))</f>
        <v/>
      </c>
      <c r="Y3" s="12">
        <f>IF(Y4="",0,IF(WEEKDAY(Y4,2)&gt;5,0,IF(COUNTIF(Feries,Y4)&gt;0,0,1)))</f>
        <v/>
      </c>
      <c r="Z3" s="12">
        <f>IF(Z4="",0,IF(WEEKDAY(Z4,2)&gt;5,0,IF(COUNTIF(Feries,Z4)&gt;0,0,1)))</f>
        <v/>
      </c>
      <c r="AA3" s="12">
        <f>IF(AA4="",0,IF(WEEKDAY(AA4,2)&gt;5,0,IF(COUNTIF(Feries,AA4)&gt;0,0,1)))</f>
        <v/>
      </c>
      <c r="AB3" s="12">
        <f>IF(AB4="",0,IF(WEEKDAY(AB4,2)&gt;5,0,IF(COUNTIF(Feries,AB4)&gt;0,0,1)))</f>
        <v/>
      </c>
      <c r="AC3" s="12">
        <f>IF(AC4="",0,IF(WEEKDAY(AC4,2)&gt;5,0,IF(COUNTIF(Feries,AC4)&gt;0,0,1)))</f>
        <v/>
      </c>
      <c r="AD3" s="12">
        <f>IF(AD4="",0,IF(WEEKDAY(AD4,2)&gt;5,0,IF(COUNTIF(Feries,AD4)&gt;0,0,1)))</f>
        <v/>
      </c>
      <c r="AE3" s="12">
        <f>IF(AE4="",0,IF(WEEKDAY(AE4,2)&gt;5,0,IF(COUNTIF(Feries,AE4)&gt;0,0,1)))</f>
        <v/>
      </c>
      <c r="AF3" s="12">
        <f>IF(AF4="",0,IF(WEEKDAY(AF4,2)&gt;5,0,IF(COUNTIF(Feries,AF4)&gt;0,0,1)))</f>
        <v/>
      </c>
    </row>
    <row r="4">
      <c r="A4" s="5" t="inlineStr">
        <is>
          <t>Date</t>
        </is>
      </c>
      <c r="B4" s="13">
        <f>'Paramètres'!$B$3</f>
        <v/>
      </c>
      <c r="C4" s="13">
        <f>IF(B4="","",IF(MONTH(B4+1)=MONTH($B$4),B4+1,""))</f>
        <v/>
      </c>
      <c r="D4" s="13">
        <f>IF(C4="","",IF(MONTH(C4+1)=MONTH($B$4),C4+1,""))</f>
        <v/>
      </c>
      <c r="E4" s="13">
        <f>IF(D4="","",IF(MONTH(D4+1)=MONTH($B$4),D4+1,""))</f>
        <v/>
      </c>
      <c r="F4" s="13">
        <f>IF(E4="","",IF(MONTH(E4+1)=MONTH($B$4),E4+1,""))</f>
        <v/>
      </c>
      <c r="G4" s="13">
        <f>IF(F4="","",IF(MONTH(F4+1)=MONTH($B$4),F4+1,""))</f>
        <v/>
      </c>
      <c r="H4" s="13">
        <f>IF(G4="","",IF(MONTH(G4+1)=MONTH($B$4),G4+1,""))</f>
        <v/>
      </c>
      <c r="I4" s="13">
        <f>IF(H4="","",IF(MONTH(H4+1)=MONTH($B$4),H4+1,""))</f>
        <v/>
      </c>
      <c r="J4" s="13">
        <f>IF(I4="","",IF(MONTH(I4+1)=MONTH($B$4),I4+1,""))</f>
        <v/>
      </c>
      <c r="K4" s="13">
        <f>IF(J4="","",IF(MONTH(J4+1)=MONTH($B$4),J4+1,""))</f>
        <v/>
      </c>
      <c r="L4" s="13">
        <f>IF(K4="","",IF(MONTH(K4+1)=MONTH($B$4),K4+1,""))</f>
        <v/>
      </c>
      <c r="M4" s="13">
        <f>IF(L4="","",IF(MONTH(L4+1)=MONTH($B$4),L4+1,""))</f>
        <v/>
      </c>
      <c r="N4" s="13">
        <f>IF(M4="","",IF(MONTH(M4+1)=MONTH($B$4),M4+1,""))</f>
        <v/>
      </c>
      <c r="O4" s="13">
        <f>IF(N4="","",IF(MONTH(N4+1)=MONTH($B$4),N4+1,""))</f>
        <v/>
      </c>
      <c r="P4" s="13">
        <f>IF(O4="","",IF(MONTH(O4+1)=MONTH($B$4),O4+1,""))</f>
        <v/>
      </c>
      <c r="Q4" s="13">
        <f>IF(P4="","",IF(MONTH(P4+1)=MONTH($B$4),P4+1,""))</f>
        <v/>
      </c>
      <c r="R4" s="13">
        <f>IF(Q4="","",IF(MONTH(Q4+1)=MONTH($B$4),Q4+1,""))</f>
        <v/>
      </c>
      <c r="S4" s="13">
        <f>IF(R4="","",IF(MONTH(R4+1)=MONTH($B$4),R4+1,""))</f>
        <v/>
      </c>
      <c r="T4" s="13">
        <f>IF(S4="","",IF(MONTH(S4+1)=MONTH($B$4),S4+1,""))</f>
        <v/>
      </c>
      <c r="U4" s="13">
        <f>IF(T4="","",IF(MONTH(T4+1)=MONTH($B$4),T4+1,""))</f>
        <v/>
      </c>
      <c r="V4" s="13">
        <f>IF(U4="","",IF(MONTH(U4+1)=MONTH($B$4),U4+1,""))</f>
        <v/>
      </c>
      <c r="W4" s="13">
        <f>IF(V4="","",IF(MONTH(V4+1)=MONTH($B$4),V4+1,""))</f>
        <v/>
      </c>
      <c r="X4" s="13">
        <f>IF(W4="","",IF(MONTH(W4+1)=MONTH($B$4),W4+1,""))</f>
        <v/>
      </c>
      <c r="Y4" s="13">
        <f>IF(X4="","",IF(MONTH(X4+1)=MONTH($B$4),X4+1,""))</f>
        <v/>
      </c>
      <c r="Z4" s="13">
        <f>IF(Y4="","",IF(MONTH(Y4+1)=MONTH($B$4),Y4+1,""))</f>
        <v/>
      </c>
      <c r="AA4" s="13">
        <f>IF(Z4="","",IF(MONTH(Z4+1)=MONTH($B$4),Z4+1,""))</f>
        <v/>
      </c>
      <c r="AB4" s="13">
        <f>IF(AA4="","",IF(MONTH(AA4+1)=MONTH($B$4),AA4+1,""))</f>
        <v/>
      </c>
      <c r="AC4" s="13">
        <f>IF(AB4="","",IF(MONTH(AB4+1)=MONTH($B$4),AB4+1,""))</f>
        <v/>
      </c>
      <c r="AD4" s="13">
        <f>IF(AC4="","",IF(MONTH(AC4+1)=MONTH($B$4),AC4+1,""))</f>
        <v/>
      </c>
      <c r="AE4" s="13">
        <f>IF(AD4="","",IF(MONTH(AD4+1)=MONTH($B$4),AD4+1,""))</f>
        <v/>
      </c>
      <c r="AF4" s="13">
        <f>IF(AE4="","",IF(MONTH(AE4+1)=MONTH($B$4),AE4+1,""))</f>
        <v/>
      </c>
    </row>
    <row r="5" ht="30" customHeight="1">
      <c r="A5" s="5" t="inlineStr">
        <is>
          <t>Salarié</t>
        </is>
      </c>
      <c r="B5" s="14">
        <f>IF(B4="","",B4)</f>
        <v/>
      </c>
      <c r="C5" s="14">
        <f>IF(C4="","",C4)</f>
        <v/>
      </c>
      <c r="D5" s="14">
        <f>IF(D4="","",D4)</f>
        <v/>
      </c>
      <c r="E5" s="14">
        <f>IF(E4="","",E4)</f>
        <v/>
      </c>
      <c r="F5" s="14">
        <f>IF(F4="","",F4)</f>
        <v/>
      </c>
      <c r="G5" s="14">
        <f>IF(G4="","",G4)</f>
        <v/>
      </c>
      <c r="H5" s="14">
        <f>IF(H4="","",H4)</f>
        <v/>
      </c>
      <c r="I5" s="14">
        <f>IF(I4="","",I4)</f>
        <v/>
      </c>
      <c r="J5" s="14">
        <f>IF(J4="","",J4)</f>
        <v/>
      </c>
      <c r="K5" s="14">
        <f>IF(K4="","",K4)</f>
        <v/>
      </c>
      <c r="L5" s="14">
        <f>IF(L4="","",L4)</f>
        <v/>
      </c>
      <c r="M5" s="14">
        <f>IF(M4="","",M4)</f>
        <v/>
      </c>
      <c r="N5" s="14">
        <f>IF(N4="","",N4)</f>
        <v/>
      </c>
      <c r="O5" s="14">
        <f>IF(O4="","",O4)</f>
        <v/>
      </c>
      <c r="P5" s="14">
        <f>IF(P4="","",P4)</f>
        <v/>
      </c>
      <c r="Q5" s="14">
        <f>IF(Q4="","",Q4)</f>
        <v/>
      </c>
      <c r="R5" s="14">
        <f>IF(R4="","",R4)</f>
        <v/>
      </c>
      <c r="S5" s="14">
        <f>IF(S4="","",S4)</f>
        <v/>
      </c>
      <c r="T5" s="14">
        <f>IF(T4="","",T4)</f>
        <v/>
      </c>
      <c r="U5" s="14">
        <f>IF(U4="","",U4)</f>
        <v/>
      </c>
      <c r="V5" s="14">
        <f>IF(V4="","",V4)</f>
        <v/>
      </c>
      <c r="W5" s="14">
        <f>IF(W4="","",W4)</f>
        <v/>
      </c>
      <c r="X5" s="14">
        <f>IF(X4="","",X4)</f>
        <v/>
      </c>
      <c r="Y5" s="14">
        <f>IF(Y4="","",Y4)</f>
        <v/>
      </c>
      <c r="Z5" s="14">
        <f>IF(Z4="","",Z4)</f>
        <v/>
      </c>
      <c r="AA5" s="14">
        <f>IF(AA4="","",AA4)</f>
        <v/>
      </c>
      <c r="AB5" s="14">
        <f>IF(AB4="","",AB4)</f>
        <v/>
      </c>
      <c r="AC5" s="14">
        <f>IF(AC4="","",AC4)</f>
        <v/>
      </c>
      <c r="AD5" s="14">
        <f>IF(AD4="","",AD4)</f>
        <v/>
      </c>
      <c r="AE5" s="14">
        <f>IF(AE4="","",AE4)</f>
        <v/>
      </c>
      <c r="AF5" s="14">
        <f>IF(AF4="","",AF4)</f>
        <v/>
      </c>
      <c r="AH5" s="15" t="inlineStr">
        <is>
          <t>CP</t>
        </is>
      </c>
      <c r="AI5" s="15" t="inlineStr">
        <is>
          <t>Télétravail</t>
        </is>
      </c>
      <c r="AJ5" s="15" t="inlineStr">
        <is>
          <t>Formation</t>
        </is>
      </c>
      <c r="AK5" s="15" t="inlineStr">
        <is>
          <t>Jours ouvrés du mois</t>
        </is>
      </c>
    </row>
    <row r="6">
      <c r="A6" s="7" t="inlineStr">
        <is>
          <t>Camille</t>
        </is>
      </c>
      <c r="B6" s="16" t="n"/>
      <c r="C6" s="16" t="n"/>
      <c r="D6" s="16" t="n"/>
      <c r="E6" s="16" t="inlineStr">
        <is>
          <t>P</t>
        </is>
      </c>
      <c r="F6" s="16" t="inlineStr">
        <is>
          <t>P</t>
        </is>
      </c>
      <c r="G6" s="16" t="inlineStr">
        <is>
          <t>T</t>
        </is>
      </c>
      <c r="H6" s="16" t="inlineStr">
        <is>
          <t>P</t>
        </is>
      </c>
      <c r="I6" s="16" t="inlineStr">
        <is>
          <t>P</t>
        </is>
      </c>
      <c r="J6" s="16" t="n"/>
      <c r="K6" s="16" t="n"/>
      <c r="L6" s="16" t="inlineStr">
        <is>
          <t>P</t>
        </is>
      </c>
      <c r="M6" s="16" t="inlineStr">
        <is>
          <t>P</t>
        </is>
      </c>
      <c r="N6" s="16" t="inlineStr">
        <is>
          <t>T</t>
        </is>
      </c>
      <c r="O6" s="16" t="inlineStr">
        <is>
          <t>P</t>
        </is>
      </c>
      <c r="P6" s="16" t="inlineStr">
        <is>
          <t>P</t>
        </is>
      </c>
      <c r="Q6" s="16" t="n"/>
      <c r="R6" s="16" t="n"/>
      <c r="S6" s="16" t="inlineStr">
        <is>
          <t>P</t>
        </is>
      </c>
      <c r="T6" s="16" t="inlineStr">
        <is>
          <t>P</t>
        </is>
      </c>
      <c r="U6" s="16" t="inlineStr">
        <is>
          <t>T</t>
        </is>
      </c>
      <c r="V6" s="16" t="inlineStr">
        <is>
          <t>P</t>
        </is>
      </c>
      <c r="W6" s="16" t="inlineStr">
        <is>
          <t>P</t>
        </is>
      </c>
      <c r="X6" s="16" t="n"/>
      <c r="Y6" s="16" t="n"/>
      <c r="Z6" s="16" t="inlineStr">
        <is>
          <t>P</t>
        </is>
      </c>
      <c r="AA6" s="16" t="inlineStr">
        <is>
          <t>P</t>
        </is>
      </c>
      <c r="AB6" s="16" t="inlineStr">
        <is>
          <t>T</t>
        </is>
      </c>
      <c r="AC6" s="16" t="inlineStr">
        <is>
          <t>P</t>
        </is>
      </c>
      <c r="AD6" s="16" t="inlineStr">
        <is>
          <t>P</t>
        </is>
      </c>
      <c r="AE6" s="16" t="n"/>
      <c r="AF6" s="16" t="n"/>
      <c r="AH6" s="17">
        <f>COUNTIF(B6:AF6,"CP")</f>
        <v/>
      </c>
      <c r="AI6" s="17">
        <f>COUNTIF(B6:AF6,"T")</f>
        <v/>
      </c>
      <c r="AJ6" s="17">
        <f>COUNTIF(B6:AF6,"F")</f>
        <v/>
      </c>
      <c r="AK6" s="17">
        <f>NETWORKDAYS($B$4,EOMONTH($B$4,0),Feries)</f>
        <v/>
      </c>
    </row>
    <row r="7">
      <c r="A7" s="7" t="inlineStr">
        <is>
          <t>Julien</t>
        </is>
      </c>
      <c r="B7" s="16" t="n"/>
      <c r="C7" s="16" t="n"/>
      <c r="D7" s="16" t="n"/>
      <c r="E7" s="16" t="inlineStr">
        <is>
          <t>T</t>
        </is>
      </c>
      <c r="F7" s="16" t="inlineStr">
        <is>
          <t>P</t>
        </is>
      </c>
      <c r="G7" s="16" t="inlineStr">
        <is>
          <t>P</t>
        </is>
      </c>
      <c r="H7" s="16" t="inlineStr">
        <is>
          <t>P</t>
        </is>
      </c>
      <c r="I7" s="16" t="inlineStr">
        <is>
          <t>T</t>
        </is>
      </c>
      <c r="J7" s="16" t="n"/>
      <c r="K7" s="16" t="n"/>
      <c r="L7" s="16" t="inlineStr">
        <is>
          <t>T</t>
        </is>
      </c>
      <c r="M7" s="16" t="inlineStr">
        <is>
          <t>P</t>
        </is>
      </c>
      <c r="N7" s="16" t="inlineStr">
        <is>
          <t>P</t>
        </is>
      </c>
      <c r="O7" s="16" t="inlineStr">
        <is>
          <t>P</t>
        </is>
      </c>
      <c r="P7" s="16" t="inlineStr">
        <is>
          <t>T</t>
        </is>
      </c>
      <c r="Q7" s="16" t="n"/>
      <c r="R7" s="16" t="n"/>
      <c r="S7" s="16" t="inlineStr">
        <is>
          <t>T</t>
        </is>
      </c>
      <c r="T7" s="16" t="inlineStr">
        <is>
          <t>P</t>
        </is>
      </c>
      <c r="U7" s="16" t="inlineStr">
        <is>
          <t>P</t>
        </is>
      </c>
      <c r="V7" s="16" t="inlineStr">
        <is>
          <t>P</t>
        </is>
      </c>
      <c r="W7" s="16" t="inlineStr">
        <is>
          <t>T</t>
        </is>
      </c>
      <c r="X7" s="16" t="n"/>
      <c r="Y7" s="16" t="n"/>
      <c r="Z7" s="16" t="inlineStr">
        <is>
          <t>T</t>
        </is>
      </c>
      <c r="AA7" s="16" t="inlineStr">
        <is>
          <t>P</t>
        </is>
      </c>
      <c r="AB7" s="16" t="inlineStr">
        <is>
          <t>A</t>
        </is>
      </c>
      <c r="AC7" s="16" t="inlineStr">
        <is>
          <t>P</t>
        </is>
      </c>
      <c r="AD7" s="16" t="inlineStr">
        <is>
          <t>T</t>
        </is>
      </c>
      <c r="AE7" s="16" t="n"/>
      <c r="AF7" s="16" t="n"/>
      <c r="AH7" s="17">
        <f>COUNTIF(B7:AF7,"CP")</f>
        <v/>
      </c>
      <c r="AI7" s="17">
        <f>COUNTIF(B7:AF7,"T")</f>
        <v/>
      </c>
      <c r="AJ7" s="17">
        <f>COUNTIF(B7:AF7,"F")</f>
        <v/>
      </c>
      <c r="AK7" s="17">
        <f>NETWORKDAYS($B$4,EOMONTH($B$4,0),Feries)</f>
        <v/>
      </c>
    </row>
    <row r="8">
      <c r="A8" s="7" t="inlineStr">
        <is>
          <t>Sarah</t>
        </is>
      </c>
      <c r="B8" s="16" t="n"/>
      <c r="C8" s="16" t="n"/>
      <c r="D8" s="16" t="n"/>
      <c r="E8" s="16" t="inlineStr">
        <is>
          <t>CP</t>
        </is>
      </c>
      <c r="F8" s="16" t="inlineStr">
        <is>
          <t>CP</t>
        </is>
      </c>
      <c r="G8" s="16" t="inlineStr">
        <is>
          <t>CP</t>
        </is>
      </c>
      <c r="H8" s="16" t="inlineStr">
        <is>
          <t>CP</t>
        </is>
      </c>
      <c r="I8" s="16" t="inlineStr">
        <is>
          <t>CP</t>
        </is>
      </c>
      <c r="J8" s="16" t="n"/>
      <c r="K8" s="16" t="n"/>
      <c r="L8" s="16" t="inlineStr">
        <is>
          <t>P</t>
        </is>
      </c>
      <c r="M8" s="16" t="inlineStr">
        <is>
          <t>T</t>
        </is>
      </c>
      <c r="N8" s="16" t="inlineStr">
        <is>
          <t>P</t>
        </is>
      </c>
      <c r="O8" s="16" t="inlineStr">
        <is>
          <t>T</t>
        </is>
      </c>
      <c r="P8" s="16" t="inlineStr">
        <is>
          <t>P</t>
        </is>
      </c>
      <c r="Q8" s="16" t="n"/>
      <c r="R8" s="16" t="n"/>
      <c r="S8" s="16" t="inlineStr">
        <is>
          <t>P</t>
        </is>
      </c>
      <c r="T8" s="16" t="inlineStr">
        <is>
          <t>T</t>
        </is>
      </c>
      <c r="U8" s="16" t="inlineStr">
        <is>
          <t>P</t>
        </is>
      </c>
      <c r="V8" s="16" t="inlineStr">
        <is>
          <t>T</t>
        </is>
      </c>
      <c r="W8" s="16" t="inlineStr">
        <is>
          <t>P</t>
        </is>
      </c>
      <c r="X8" s="16" t="n"/>
      <c r="Y8" s="16" t="n"/>
      <c r="Z8" s="16" t="inlineStr">
        <is>
          <t>P</t>
        </is>
      </c>
      <c r="AA8" s="16" t="inlineStr">
        <is>
          <t>T</t>
        </is>
      </c>
      <c r="AB8" s="16" t="inlineStr">
        <is>
          <t>P</t>
        </is>
      </c>
      <c r="AC8" s="16" t="inlineStr">
        <is>
          <t>T</t>
        </is>
      </c>
      <c r="AD8" s="16" t="inlineStr">
        <is>
          <t>P</t>
        </is>
      </c>
      <c r="AE8" s="16" t="n"/>
      <c r="AF8" s="16" t="n"/>
      <c r="AH8" s="17">
        <f>COUNTIF(B8:AF8,"CP")</f>
        <v/>
      </c>
      <c r="AI8" s="17">
        <f>COUNTIF(B8:AF8,"T")</f>
        <v/>
      </c>
      <c r="AJ8" s="17">
        <f>COUNTIF(B8:AF8,"F")</f>
        <v/>
      </c>
      <c r="AK8" s="17">
        <f>NETWORKDAYS($B$4,EOMONTH($B$4,0),Feries)</f>
        <v/>
      </c>
    </row>
    <row r="9">
      <c r="A9" s="7" t="inlineStr">
        <is>
          <t>Karim</t>
        </is>
      </c>
      <c r="B9" s="16" t="n"/>
      <c r="C9" s="16" t="n"/>
      <c r="D9" s="16" t="n"/>
      <c r="E9" s="16" t="inlineStr">
        <is>
          <t>P</t>
        </is>
      </c>
      <c r="F9" s="16" t="inlineStr">
        <is>
          <t>P</t>
        </is>
      </c>
      <c r="G9" s="16" t="inlineStr">
        <is>
          <t>P</t>
        </is>
      </c>
      <c r="H9" s="16" t="inlineStr">
        <is>
          <t>T</t>
        </is>
      </c>
      <c r="I9" s="16" t="inlineStr">
        <is>
          <t>P</t>
        </is>
      </c>
      <c r="J9" s="16" t="n"/>
      <c r="K9" s="16" t="n"/>
      <c r="L9" s="16" t="inlineStr">
        <is>
          <t>P</t>
        </is>
      </c>
      <c r="M9" s="16" t="inlineStr">
        <is>
          <t>P</t>
        </is>
      </c>
      <c r="N9" s="16" t="inlineStr">
        <is>
          <t>P</t>
        </is>
      </c>
      <c r="O9" s="16" t="inlineStr">
        <is>
          <t>T</t>
        </is>
      </c>
      <c r="P9" s="16" t="inlineStr">
        <is>
          <t>P</t>
        </is>
      </c>
      <c r="Q9" s="16" t="n"/>
      <c r="R9" s="16" t="n"/>
      <c r="S9" s="16" t="inlineStr">
        <is>
          <t>P</t>
        </is>
      </c>
      <c r="T9" s="16" t="inlineStr">
        <is>
          <t>P</t>
        </is>
      </c>
      <c r="U9" s="16" t="inlineStr">
        <is>
          <t>P</t>
        </is>
      </c>
      <c r="V9" s="16" t="inlineStr">
        <is>
          <t>T</t>
        </is>
      </c>
      <c r="W9" s="16" t="inlineStr">
        <is>
          <t>P</t>
        </is>
      </c>
      <c r="X9" s="16" t="n"/>
      <c r="Y9" s="16" t="n"/>
      <c r="Z9" s="16" t="inlineStr">
        <is>
          <t>CP</t>
        </is>
      </c>
      <c r="AA9" s="16" t="inlineStr">
        <is>
          <t>CP</t>
        </is>
      </c>
      <c r="AB9" s="16" t="inlineStr">
        <is>
          <t>CP</t>
        </is>
      </c>
      <c r="AC9" s="16" t="inlineStr">
        <is>
          <t>CP</t>
        </is>
      </c>
      <c r="AD9" s="16" t="inlineStr">
        <is>
          <t>CP</t>
        </is>
      </c>
      <c r="AE9" s="16" t="n"/>
      <c r="AF9" s="16" t="n"/>
      <c r="AH9" s="17">
        <f>COUNTIF(B9:AF9,"CP")</f>
        <v/>
      </c>
      <c r="AI9" s="17">
        <f>COUNTIF(B9:AF9,"T")</f>
        <v/>
      </c>
      <c r="AJ9" s="17">
        <f>COUNTIF(B9:AF9,"F")</f>
        <v/>
      </c>
      <c r="AK9" s="17">
        <f>NETWORKDAYS($B$4,EOMONTH($B$4,0),Feries)</f>
        <v/>
      </c>
    </row>
    <row r="10">
      <c r="A10" s="7" t="inlineStr">
        <is>
          <t>Léa</t>
        </is>
      </c>
      <c r="B10" s="16" t="n"/>
      <c r="C10" s="16" t="n"/>
      <c r="D10" s="16" t="n"/>
      <c r="E10" s="16" t="inlineStr">
        <is>
          <t>T</t>
        </is>
      </c>
      <c r="F10" s="16" t="inlineStr">
        <is>
          <t>P</t>
        </is>
      </c>
      <c r="G10" s="16" t="inlineStr">
        <is>
          <t>T</t>
        </is>
      </c>
      <c r="H10" s="16" t="inlineStr">
        <is>
          <t>P</t>
        </is>
      </c>
      <c r="I10" s="16" t="inlineStr">
        <is>
          <t>P</t>
        </is>
      </c>
      <c r="J10" s="16" t="n"/>
      <c r="K10" s="16" t="n"/>
      <c r="L10" s="16" t="inlineStr">
        <is>
          <t>T</t>
        </is>
      </c>
      <c r="M10" s="16" t="inlineStr">
        <is>
          <t>P</t>
        </is>
      </c>
      <c r="N10" s="16" t="inlineStr">
        <is>
          <t>T</t>
        </is>
      </c>
      <c r="O10" s="16" t="inlineStr">
        <is>
          <t>P</t>
        </is>
      </c>
      <c r="P10" s="16" t="inlineStr">
        <is>
          <t>P</t>
        </is>
      </c>
      <c r="Q10" s="16" t="n"/>
      <c r="R10" s="16" t="n"/>
      <c r="S10" s="16" t="inlineStr">
        <is>
          <t>T</t>
        </is>
      </c>
      <c r="T10" s="16" t="inlineStr">
        <is>
          <t>P</t>
        </is>
      </c>
      <c r="U10" s="16" t="inlineStr">
        <is>
          <t>T</t>
        </is>
      </c>
      <c r="V10" s="16" t="inlineStr">
        <is>
          <t>P</t>
        </is>
      </c>
      <c r="W10" s="16" t="inlineStr">
        <is>
          <t>P</t>
        </is>
      </c>
      <c r="X10" s="16" t="n"/>
      <c r="Y10" s="16" t="n"/>
      <c r="Z10" s="16" t="inlineStr">
        <is>
          <t>T</t>
        </is>
      </c>
      <c r="AA10" s="16" t="inlineStr">
        <is>
          <t>P</t>
        </is>
      </c>
      <c r="AB10" s="16" t="inlineStr">
        <is>
          <t>T</t>
        </is>
      </c>
      <c r="AC10" s="16" t="inlineStr">
        <is>
          <t>P</t>
        </is>
      </c>
      <c r="AD10" s="16" t="inlineStr">
        <is>
          <t>P</t>
        </is>
      </c>
      <c r="AE10" s="16" t="n"/>
      <c r="AF10" s="16" t="n"/>
      <c r="AH10" s="17">
        <f>COUNTIF(B10:AF10,"CP")</f>
        <v/>
      </c>
      <c r="AI10" s="17">
        <f>COUNTIF(B10:AF10,"T")</f>
        <v/>
      </c>
      <c r="AJ10" s="17">
        <f>COUNTIF(B10:AF10,"F")</f>
        <v/>
      </c>
      <c r="AK10" s="17">
        <f>NETWORKDAYS($B$4,EOMONTH($B$4,0),Feries)</f>
        <v/>
      </c>
    </row>
    <row r="11">
      <c r="A11" s="7" t="inlineStr">
        <is>
          <t>Thomas</t>
        </is>
      </c>
      <c r="B11" s="16" t="n"/>
      <c r="C11" s="16" t="n"/>
      <c r="D11" s="16" t="n"/>
      <c r="E11" s="16" t="inlineStr">
        <is>
          <t>P</t>
        </is>
      </c>
      <c r="F11" s="16" t="inlineStr">
        <is>
          <t>T</t>
        </is>
      </c>
      <c r="G11" s="16" t="inlineStr">
        <is>
          <t>P</t>
        </is>
      </c>
      <c r="H11" s="16" t="inlineStr">
        <is>
          <t>P</t>
        </is>
      </c>
      <c r="I11" s="16" t="inlineStr">
        <is>
          <t>T</t>
        </is>
      </c>
      <c r="J11" s="16" t="n"/>
      <c r="K11" s="16" t="n"/>
      <c r="L11" s="16" t="inlineStr">
        <is>
          <t>P</t>
        </is>
      </c>
      <c r="M11" s="16" t="inlineStr">
        <is>
          <t>T</t>
        </is>
      </c>
      <c r="N11" s="16" t="inlineStr">
        <is>
          <t>P</t>
        </is>
      </c>
      <c r="O11" s="16" t="inlineStr">
        <is>
          <t>F</t>
        </is>
      </c>
      <c r="P11" s="16" t="inlineStr">
        <is>
          <t>F</t>
        </is>
      </c>
      <c r="Q11" s="16" t="n"/>
      <c r="R11" s="16" t="n"/>
      <c r="S11" s="16" t="inlineStr">
        <is>
          <t>P</t>
        </is>
      </c>
      <c r="T11" s="16" t="inlineStr">
        <is>
          <t>T</t>
        </is>
      </c>
      <c r="U11" s="16" t="inlineStr">
        <is>
          <t>P</t>
        </is>
      </c>
      <c r="V11" s="16" t="inlineStr">
        <is>
          <t>P</t>
        </is>
      </c>
      <c r="W11" s="16" t="inlineStr">
        <is>
          <t>T</t>
        </is>
      </c>
      <c r="X11" s="16" t="n"/>
      <c r="Y11" s="16" t="n"/>
      <c r="Z11" s="16" t="inlineStr">
        <is>
          <t>P</t>
        </is>
      </c>
      <c r="AA11" s="16" t="inlineStr">
        <is>
          <t>T</t>
        </is>
      </c>
      <c r="AB11" s="16" t="inlineStr">
        <is>
          <t>P</t>
        </is>
      </c>
      <c r="AC11" s="16" t="inlineStr">
        <is>
          <t>P</t>
        </is>
      </c>
      <c r="AD11" s="16" t="inlineStr">
        <is>
          <t>T</t>
        </is>
      </c>
      <c r="AE11" s="16" t="n"/>
      <c r="AF11" s="16" t="n"/>
      <c r="AH11" s="17">
        <f>COUNTIF(B11:AF11,"CP")</f>
        <v/>
      </c>
      <c r="AI11" s="17">
        <f>COUNTIF(B11:AF11,"T")</f>
        <v/>
      </c>
      <c r="AJ11" s="17">
        <f>COUNTIF(B11:AF11,"F")</f>
        <v/>
      </c>
      <c r="AK11" s="17">
        <f>NETWORKDAYS($B$4,EOMONTH($B$4,0),Feries)</f>
        <v/>
      </c>
    </row>
    <row r="12">
      <c r="A12" s="7" t="inlineStr">
        <is>
          <t>Inès</t>
        </is>
      </c>
      <c r="B12" s="16" t="n"/>
      <c r="C12" s="16" t="n"/>
      <c r="D12" s="16" t="n"/>
      <c r="E12" s="16" t="inlineStr">
        <is>
          <t>P</t>
        </is>
      </c>
      <c r="F12" s="16" t="inlineStr">
        <is>
          <t>P</t>
        </is>
      </c>
      <c r="G12" s="16" t="inlineStr">
        <is>
          <t>T</t>
        </is>
      </c>
      <c r="H12" s="16" t="inlineStr">
        <is>
          <t>P</t>
        </is>
      </c>
      <c r="I12" s="16" t="inlineStr">
        <is>
          <t>P</t>
        </is>
      </c>
      <c r="J12" s="16" t="n"/>
      <c r="K12" s="16" t="n"/>
      <c r="L12" s="16" t="inlineStr">
        <is>
          <t>P</t>
        </is>
      </c>
      <c r="M12" s="16" t="inlineStr">
        <is>
          <t>P</t>
        </is>
      </c>
      <c r="N12" s="16" t="inlineStr">
        <is>
          <t>T</t>
        </is>
      </c>
      <c r="O12" s="16" t="inlineStr">
        <is>
          <t>P</t>
        </is>
      </c>
      <c r="P12" s="16" t="inlineStr">
        <is>
          <t>P</t>
        </is>
      </c>
      <c r="Q12" s="16" t="n"/>
      <c r="R12" s="16" t="n"/>
      <c r="S12" s="16" t="inlineStr">
        <is>
          <t>P</t>
        </is>
      </c>
      <c r="T12" s="16" t="inlineStr">
        <is>
          <t>P</t>
        </is>
      </c>
      <c r="U12" s="16" t="inlineStr">
        <is>
          <t>T</t>
        </is>
      </c>
      <c r="V12" s="16" t="inlineStr">
        <is>
          <t>P</t>
        </is>
      </c>
      <c r="W12" s="16" t="inlineStr">
        <is>
          <t>RTT</t>
        </is>
      </c>
      <c r="X12" s="16" t="n"/>
      <c r="Y12" s="16" t="n"/>
      <c r="Z12" s="16" t="inlineStr">
        <is>
          <t>P</t>
        </is>
      </c>
      <c r="AA12" s="16" t="inlineStr">
        <is>
          <t>P</t>
        </is>
      </c>
      <c r="AB12" s="16" t="inlineStr">
        <is>
          <t>T</t>
        </is>
      </c>
      <c r="AC12" s="16" t="inlineStr">
        <is>
          <t>P</t>
        </is>
      </c>
      <c r="AD12" s="16" t="inlineStr">
        <is>
          <t>P</t>
        </is>
      </c>
      <c r="AE12" s="16" t="n"/>
      <c r="AF12" s="16" t="n"/>
      <c r="AH12" s="17">
        <f>COUNTIF(B12:AF12,"CP")</f>
        <v/>
      </c>
      <c r="AI12" s="17">
        <f>COUNTIF(B12:AF12,"T")</f>
        <v/>
      </c>
      <c r="AJ12" s="17">
        <f>COUNTIF(B12:AF12,"F")</f>
        <v/>
      </c>
      <c r="AK12" s="17">
        <f>NETWORKDAYS($B$4,EOMONTH($B$4,0),Feries)</f>
        <v/>
      </c>
    </row>
    <row r="13">
      <c r="A13" s="7" t="inlineStr">
        <is>
          <t>Marc</t>
        </is>
      </c>
      <c r="B13" s="16" t="n"/>
      <c r="C13" s="16" t="n"/>
      <c r="D13" s="16" t="n"/>
      <c r="E13" s="16" t="inlineStr">
        <is>
          <t>T</t>
        </is>
      </c>
      <c r="F13" s="16" t="inlineStr">
        <is>
          <t>P</t>
        </is>
      </c>
      <c r="G13" s="16" t="inlineStr">
        <is>
          <t>P</t>
        </is>
      </c>
      <c r="H13" s="16" t="inlineStr">
        <is>
          <t>T</t>
        </is>
      </c>
      <c r="I13" s="16" t="inlineStr">
        <is>
          <t>P</t>
        </is>
      </c>
      <c r="J13" s="16" t="n"/>
      <c r="K13" s="16" t="n"/>
      <c r="L13" s="16" t="inlineStr">
        <is>
          <t>T</t>
        </is>
      </c>
      <c r="M13" s="16" t="inlineStr">
        <is>
          <t>P</t>
        </is>
      </c>
      <c r="N13" s="16" t="inlineStr">
        <is>
          <t>P</t>
        </is>
      </c>
      <c r="O13" s="16" t="inlineStr">
        <is>
          <t>T</t>
        </is>
      </c>
      <c r="P13" s="16" t="inlineStr">
        <is>
          <t>P</t>
        </is>
      </c>
      <c r="Q13" s="16" t="n"/>
      <c r="R13" s="16" t="n"/>
      <c r="S13" s="16" t="inlineStr">
        <is>
          <t>T</t>
        </is>
      </c>
      <c r="T13" s="16" t="inlineStr">
        <is>
          <t>P</t>
        </is>
      </c>
      <c r="U13" s="16" t="inlineStr">
        <is>
          <t>P</t>
        </is>
      </c>
      <c r="V13" s="16" t="inlineStr">
        <is>
          <t>T</t>
        </is>
      </c>
      <c r="W13" s="16" t="inlineStr">
        <is>
          <t>P</t>
        </is>
      </c>
      <c r="X13" s="16" t="n"/>
      <c r="Y13" s="16" t="n"/>
      <c r="Z13" s="16" t="inlineStr">
        <is>
          <t>T</t>
        </is>
      </c>
      <c r="AA13" s="16" t="inlineStr">
        <is>
          <t>P</t>
        </is>
      </c>
      <c r="AB13" s="16" t="inlineStr">
        <is>
          <t>P</t>
        </is>
      </c>
      <c r="AC13" s="16" t="inlineStr">
        <is>
          <t>T</t>
        </is>
      </c>
      <c r="AD13" s="16" t="inlineStr">
        <is>
          <t>P</t>
        </is>
      </c>
      <c r="AE13" s="16" t="n"/>
      <c r="AF13" s="16" t="n"/>
      <c r="AH13" s="17">
        <f>COUNTIF(B13:AF13,"CP")</f>
        <v/>
      </c>
      <c r="AI13" s="17">
        <f>COUNTIF(B13:AF13,"T")</f>
        <v/>
      </c>
      <c r="AJ13" s="17">
        <f>COUNTIF(B13:AF13,"F")</f>
        <v/>
      </c>
      <c r="AK13" s="17">
        <f>NETWORKDAYS($B$4,EOMONTH($B$4,0),Feries)</f>
        <v/>
      </c>
    </row>
    <row r="15">
      <c r="A15" s="18" t="inlineStr">
        <is>
          <t>Présents sur site</t>
        </is>
      </c>
      <c r="B15" s="16">
        <f>IF(B$3,COUNTIF(B6:B13,"P"),"")</f>
        <v/>
      </c>
      <c r="C15" s="16">
        <f>IF(C$3,COUNTIF(C6:C13,"P"),"")</f>
        <v/>
      </c>
      <c r="D15" s="16">
        <f>IF(D$3,COUNTIF(D6:D13,"P"),"")</f>
        <v/>
      </c>
      <c r="E15" s="16">
        <f>IF(E$3,COUNTIF(E6:E13,"P"),"")</f>
        <v/>
      </c>
      <c r="F15" s="16">
        <f>IF(F$3,COUNTIF(F6:F13,"P"),"")</f>
        <v/>
      </c>
      <c r="G15" s="16">
        <f>IF(G$3,COUNTIF(G6:G13,"P"),"")</f>
        <v/>
      </c>
      <c r="H15" s="16">
        <f>IF(H$3,COUNTIF(H6:H13,"P"),"")</f>
        <v/>
      </c>
      <c r="I15" s="16">
        <f>IF(I$3,COUNTIF(I6:I13,"P"),"")</f>
        <v/>
      </c>
      <c r="J15" s="16">
        <f>IF(J$3,COUNTIF(J6:J13,"P"),"")</f>
        <v/>
      </c>
      <c r="K15" s="16">
        <f>IF(K$3,COUNTIF(K6:K13,"P"),"")</f>
        <v/>
      </c>
      <c r="L15" s="16">
        <f>IF(L$3,COUNTIF(L6:L13,"P"),"")</f>
        <v/>
      </c>
      <c r="M15" s="16">
        <f>IF(M$3,COUNTIF(M6:M13,"P"),"")</f>
        <v/>
      </c>
      <c r="N15" s="16">
        <f>IF(N$3,COUNTIF(N6:N13,"P"),"")</f>
        <v/>
      </c>
      <c r="O15" s="16">
        <f>IF(O$3,COUNTIF(O6:O13,"P"),"")</f>
        <v/>
      </c>
      <c r="P15" s="16">
        <f>IF(P$3,COUNTIF(P6:P13,"P"),"")</f>
        <v/>
      </c>
      <c r="Q15" s="16">
        <f>IF(Q$3,COUNTIF(Q6:Q13,"P"),"")</f>
        <v/>
      </c>
      <c r="R15" s="16">
        <f>IF(R$3,COUNTIF(R6:R13,"P"),"")</f>
        <v/>
      </c>
      <c r="S15" s="16">
        <f>IF(S$3,COUNTIF(S6:S13,"P"),"")</f>
        <v/>
      </c>
      <c r="T15" s="16">
        <f>IF(T$3,COUNTIF(T6:T13,"P"),"")</f>
        <v/>
      </c>
      <c r="U15" s="16">
        <f>IF(U$3,COUNTIF(U6:U13,"P"),"")</f>
        <v/>
      </c>
      <c r="V15" s="16">
        <f>IF(V$3,COUNTIF(V6:V13,"P"),"")</f>
        <v/>
      </c>
      <c r="W15" s="16">
        <f>IF(W$3,COUNTIF(W6:W13,"P"),"")</f>
        <v/>
      </c>
      <c r="X15" s="16">
        <f>IF(X$3,COUNTIF(X6:X13,"P"),"")</f>
        <v/>
      </c>
      <c r="Y15" s="16">
        <f>IF(Y$3,COUNTIF(Y6:Y13,"P"),"")</f>
        <v/>
      </c>
      <c r="Z15" s="16">
        <f>IF(Z$3,COUNTIF(Z6:Z13,"P"),"")</f>
        <v/>
      </c>
      <c r="AA15" s="16">
        <f>IF(AA$3,COUNTIF(AA6:AA13,"P"),"")</f>
        <v/>
      </c>
      <c r="AB15" s="16">
        <f>IF(AB$3,COUNTIF(AB6:AB13,"P"),"")</f>
        <v/>
      </c>
      <c r="AC15" s="16">
        <f>IF(AC$3,COUNTIF(AC6:AC13,"P"),"")</f>
        <v/>
      </c>
      <c r="AD15" s="16">
        <f>IF(AD$3,COUNTIF(AD6:AD13,"P"),"")</f>
        <v/>
      </c>
      <c r="AE15" s="16">
        <f>IF(AE$3,COUNTIF(AE6:AE13,"P"),"")</f>
        <v/>
      </c>
      <c r="AF15" s="16">
        <f>IF(AF$3,COUNTIF(AF6:AF13,"P"),"")</f>
        <v/>
      </c>
    </row>
    <row r="16">
      <c r="A16" s="18" t="inlineStr">
        <is>
          <t>Télétravail</t>
        </is>
      </c>
      <c r="B16" s="16">
        <f>IF(B$3,COUNTIF(B6:B13,"T"),"")</f>
        <v/>
      </c>
      <c r="C16" s="16">
        <f>IF(C$3,COUNTIF(C6:C13,"T"),"")</f>
        <v/>
      </c>
      <c r="D16" s="16">
        <f>IF(D$3,COUNTIF(D6:D13,"T"),"")</f>
        <v/>
      </c>
      <c r="E16" s="16">
        <f>IF(E$3,COUNTIF(E6:E13,"T"),"")</f>
        <v/>
      </c>
      <c r="F16" s="16">
        <f>IF(F$3,COUNTIF(F6:F13,"T"),"")</f>
        <v/>
      </c>
      <c r="G16" s="16">
        <f>IF(G$3,COUNTIF(G6:G13,"T"),"")</f>
        <v/>
      </c>
      <c r="H16" s="16">
        <f>IF(H$3,COUNTIF(H6:H13,"T"),"")</f>
        <v/>
      </c>
      <c r="I16" s="16">
        <f>IF(I$3,COUNTIF(I6:I13,"T"),"")</f>
        <v/>
      </c>
      <c r="J16" s="16">
        <f>IF(J$3,COUNTIF(J6:J13,"T"),"")</f>
        <v/>
      </c>
      <c r="K16" s="16">
        <f>IF(K$3,COUNTIF(K6:K13,"T"),"")</f>
        <v/>
      </c>
      <c r="L16" s="16">
        <f>IF(L$3,COUNTIF(L6:L13,"T"),"")</f>
        <v/>
      </c>
      <c r="M16" s="16">
        <f>IF(M$3,COUNTIF(M6:M13,"T"),"")</f>
        <v/>
      </c>
      <c r="N16" s="16">
        <f>IF(N$3,COUNTIF(N6:N13,"T"),"")</f>
        <v/>
      </c>
      <c r="O16" s="16">
        <f>IF(O$3,COUNTIF(O6:O13,"T"),"")</f>
        <v/>
      </c>
      <c r="P16" s="16">
        <f>IF(P$3,COUNTIF(P6:P13,"T"),"")</f>
        <v/>
      </c>
      <c r="Q16" s="16">
        <f>IF(Q$3,COUNTIF(Q6:Q13,"T"),"")</f>
        <v/>
      </c>
      <c r="R16" s="16">
        <f>IF(R$3,COUNTIF(R6:R13,"T"),"")</f>
        <v/>
      </c>
      <c r="S16" s="16">
        <f>IF(S$3,COUNTIF(S6:S13,"T"),"")</f>
        <v/>
      </c>
      <c r="T16" s="16">
        <f>IF(T$3,COUNTIF(T6:T13,"T"),"")</f>
        <v/>
      </c>
      <c r="U16" s="16">
        <f>IF(U$3,COUNTIF(U6:U13,"T"),"")</f>
        <v/>
      </c>
      <c r="V16" s="16">
        <f>IF(V$3,COUNTIF(V6:V13,"T"),"")</f>
        <v/>
      </c>
      <c r="W16" s="16">
        <f>IF(W$3,COUNTIF(W6:W13,"T"),"")</f>
        <v/>
      </c>
      <c r="X16" s="16">
        <f>IF(X$3,COUNTIF(X6:X13,"T"),"")</f>
        <v/>
      </c>
      <c r="Y16" s="16">
        <f>IF(Y$3,COUNTIF(Y6:Y13,"T"),"")</f>
        <v/>
      </c>
      <c r="Z16" s="16">
        <f>IF(Z$3,COUNTIF(Z6:Z13,"T"),"")</f>
        <v/>
      </c>
      <c r="AA16" s="16">
        <f>IF(AA$3,COUNTIF(AA6:AA13,"T"),"")</f>
        <v/>
      </c>
      <c r="AB16" s="16">
        <f>IF(AB$3,COUNTIF(AB6:AB13,"T"),"")</f>
        <v/>
      </c>
      <c r="AC16" s="16">
        <f>IF(AC$3,COUNTIF(AC6:AC13,"T"),"")</f>
        <v/>
      </c>
      <c r="AD16" s="16">
        <f>IF(AD$3,COUNTIF(AD6:AD13,"T"),"")</f>
        <v/>
      </c>
      <c r="AE16" s="16">
        <f>IF(AE$3,COUNTIF(AE6:AE13,"T"),"")</f>
        <v/>
      </c>
      <c r="AF16" s="16">
        <f>IF(AF$3,COUNTIF(AF6:AF13,"T"),"")</f>
        <v/>
      </c>
    </row>
    <row r="17">
      <c r="A17" s="18" t="inlineStr">
        <is>
          <t>Absents (CP, RTT, F, A)</t>
        </is>
      </c>
      <c r="B17" s="16">
        <f>IF(B$3,COUNTA(B6:B13)-B15-B16,"")</f>
        <v/>
      </c>
      <c r="C17" s="16">
        <f>IF(C$3,COUNTA(C6:C13)-C15-C16,"")</f>
        <v/>
      </c>
      <c r="D17" s="16">
        <f>IF(D$3,COUNTA(D6:D13)-D15-D16,"")</f>
        <v/>
      </c>
      <c r="E17" s="16">
        <f>IF(E$3,COUNTA(E6:E13)-E15-E16,"")</f>
        <v/>
      </c>
      <c r="F17" s="16">
        <f>IF(F$3,COUNTA(F6:F13)-F15-F16,"")</f>
        <v/>
      </c>
      <c r="G17" s="16">
        <f>IF(G$3,COUNTA(G6:G13)-G15-G16,"")</f>
        <v/>
      </c>
      <c r="H17" s="16">
        <f>IF(H$3,COUNTA(H6:H13)-H15-H16,"")</f>
        <v/>
      </c>
      <c r="I17" s="16">
        <f>IF(I$3,COUNTA(I6:I13)-I15-I16,"")</f>
        <v/>
      </c>
      <c r="J17" s="16">
        <f>IF(J$3,COUNTA(J6:J13)-J15-J16,"")</f>
        <v/>
      </c>
      <c r="K17" s="16">
        <f>IF(K$3,COUNTA(K6:K13)-K15-K16,"")</f>
        <v/>
      </c>
      <c r="L17" s="16">
        <f>IF(L$3,COUNTA(L6:L13)-L15-L16,"")</f>
        <v/>
      </c>
      <c r="M17" s="16">
        <f>IF(M$3,COUNTA(M6:M13)-M15-M16,"")</f>
        <v/>
      </c>
      <c r="N17" s="16">
        <f>IF(N$3,COUNTA(N6:N13)-N15-N16,"")</f>
        <v/>
      </c>
      <c r="O17" s="16">
        <f>IF(O$3,COUNTA(O6:O13)-O15-O16,"")</f>
        <v/>
      </c>
      <c r="P17" s="16">
        <f>IF(P$3,COUNTA(P6:P13)-P15-P16,"")</f>
        <v/>
      </c>
      <c r="Q17" s="16">
        <f>IF(Q$3,COUNTA(Q6:Q13)-Q15-Q16,"")</f>
        <v/>
      </c>
      <c r="R17" s="16">
        <f>IF(R$3,COUNTA(R6:R13)-R15-R16,"")</f>
        <v/>
      </c>
      <c r="S17" s="16">
        <f>IF(S$3,COUNTA(S6:S13)-S15-S16,"")</f>
        <v/>
      </c>
      <c r="T17" s="16">
        <f>IF(T$3,COUNTA(T6:T13)-T15-T16,"")</f>
        <v/>
      </c>
      <c r="U17" s="16">
        <f>IF(U$3,COUNTA(U6:U13)-U15-U16,"")</f>
        <v/>
      </c>
      <c r="V17" s="16">
        <f>IF(V$3,COUNTA(V6:V13)-V15-V16,"")</f>
        <v/>
      </c>
      <c r="W17" s="16">
        <f>IF(W$3,COUNTA(W6:W13)-W15-W16,"")</f>
        <v/>
      </c>
      <c r="X17" s="16">
        <f>IF(X$3,COUNTA(X6:X13)-X15-X16,"")</f>
        <v/>
      </c>
      <c r="Y17" s="16">
        <f>IF(Y$3,COUNTA(Y6:Y13)-Y15-Y16,"")</f>
        <v/>
      </c>
      <c r="Z17" s="16">
        <f>IF(Z$3,COUNTA(Z6:Z13)-Z15-Z16,"")</f>
        <v/>
      </c>
      <c r="AA17" s="16">
        <f>IF(AA$3,COUNTA(AA6:AA13)-AA15-AA16,"")</f>
        <v/>
      </c>
      <c r="AB17" s="16">
        <f>IF(AB$3,COUNTA(AB6:AB13)-AB15-AB16,"")</f>
        <v/>
      </c>
      <c r="AC17" s="16">
        <f>IF(AC$3,COUNTA(AC6:AC13)-AC15-AC16,"")</f>
        <v/>
      </c>
      <c r="AD17" s="16">
        <f>IF(AD$3,COUNTA(AD6:AD13)-AD15-AD16,"")</f>
        <v/>
      </c>
      <c r="AE17" s="16">
        <f>IF(AE$3,COUNTA(AE6:AE13)-AE15-AE16,"")</f>
        <v/>
      </c>
      <c r="AF17" s="16">
        <f>IF(AF$3,COUNTA(AF6:AF13)-AF15-AF16,"")</f>
        <v/>
      </c>
    </row>
    <row r="19">
      <c r="A19" s="9" t="inlineStr">
        <is>
          <t>Saisissez un code par jour ouvré (liste déroulante). Les cellules grises sont les week-ends et jours fériés. La ligne Présents sur site passe en rouge sous l'effectif minimum défini dans Paramètres.</t>
        </is>
      </c>
    </row>
  </sheetData>
  <conditionalFormatting sqref="B6:AF17">
    <cfRule type="expression" priority="1" dxfId="0" stopIfTrue="1">
      <formula>AND(B$4&lt;&gt;"",COUNTIF(Feries,B$4)&gt;0)</formula>
    </cfRule>
    <cfRule type="expression" priority="2" dxfId="1" stopIfTrue="1">
      <formula>AND(B$4&lt;&gt;"",WEEKDAY(B$4,2)&gt;5)</formula>
    </cfRule>
  </conditionalFormatting>
  <conditionalFormatting sqref="B6:AF13">
    <cfRule type="expression" priority="3" dxfId="2">
      <formula>B6="P"</formula>
    </cfRule>
    <cfRule type="expression" priority="4" dxfId="3">
      <formula>B6="T"</formula>
    </cfRule>
    <cfRule type="expression" priority="5" dxfId="4">
      <formula>B6="CP"</formula>
    </cfRule>
    <cfRule type="expression" priority="6" dxfId="5">
      <formula>B6="RTT"</formula>
    </cfRule>
    <cfRule type="expression" priority="7" dxfId="6">
      <formula>B6="F"</formula>
    </cfRule>
    <cfRule type="expression" priority="8" dxfId="7">
      <formula>B6="A"</formula>
    </cfRule>
  </conditionalFormatting>
  <conditionalFormatting sqref="B15:AF15">
    <cfRule type="expression" priority="9" dxfId="8">
      <formula>AND(B15&lt;&gt;"",B15&lt;'Paramètres'!$B$4)</formula>
    </cfRule>
  </conditionalFormatting>
  <conditionalFormatting sqref="B4:AF17">
    <cfRule type="expression" priority="10" dxfId="9">
      <formula>B$4=TODAY()</formula>
    </cfRule>
  </conditionalFormatting>
  <dataValidations count="1">
    <dataValidation sqref="B6:AF13" showDropDown="0" showInputMessage="0" showErrorMessage="1" allowBlank="1" errorTitle="Code inconnu" error="Choisissez un code de la liste (P, T, CP, RTT, F, A)." type="list">
      <formula1>='Paramètres'!$D$3:$D$8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37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hidden="1" width="13" customWidth="1" min="25" max="25"/>
    <col hidden="1" width="13" customWidth="1" min="26" max="26"/>
    <col hidden="1" width="13" customWidth="1" min="27" max="27"/>
  </cols>
  <sheetData>
    <row r="1">
      <c r="A1" s="19">
        <f>'Paramètres'!B2</f>
        <v/>
      </c>
      <c r="C1" s="9" t="inlineStr">
        <is>
          <t>Calendrier annuel — les jours fériés de la plage Feries apparaissent en gris foncé.</t>
        </is>
      </c>
    </row>
    <row r="3">
      <c r="A3" s="20">
        <f>DATE($A$1,1,1)</f>
        <v/>
      </c>
      <c r="I3" s="20">
        <f>DATE($A$1,2,1)</f>
        <v/>
      </c>
      <c r="Q3" s="20">
        <f>DATE($A$1,3,1)</f>
        <v/>
      </c>
      <c r="Y3" s="21">
        <f>A3-WEEKDAY(A3,2)+1</f>
        <v/>
      </c>
      <c r="Z3" s="21">
        <f>I3-WEEKDAY(I3,2)+1</f>
        <v/>
      </c>
      <c r="AA3" s="21">
        <f>Q3-WEEKDAY(Q3,2)+1</f>
        <v/>
      </c>
    </row>
    <row r="4">
      <c r="A4" s="22" t="inlineStr">
        <is>
          <t>L</t>
        </is>
      </c>
      <c r="B4" s="22" t="inlineStr">
        <is>
          <t>M</t>
        </is>
      </c>
      <c r="C4" s="22" t="inlineStr">
        <is>
          <t>M</t>
        </is>
      </c>
      <c r="D4" s="22" t="inlineStr">
        <is>
          <t>J</t>
        </is>
      </c>
      <c r="E4" s="22" t="inlineStr">
        <is>
          <t>V</t>
        </is>
      </c>
      <c r="F4" s="22" t="inlineStr">
        <is>
          <t>S</t>
        </is>
      </c>
      <c r="G4" s="22" t="inlineStr">
        <is>
          <t>D</t>
        </is>
      </c>
      <c r="I4" s="22" t="inlineStr">
        <is>
          <t>L</t>
        </is>
      </c>
      <c r="J4" s="22" t="inlineStr">
        <is>
          <t>M</t>
        </is>
      </c>
      <c r="K4" s="22" t="inlineStr">
        <is>
          <t>M</t>
        </is>
      </c>
      <c r="L4" s="22" t="inlineStr">
        <is>
          <t>J</t>
        </is>
      </c>
      <c r="M4" s="22" t="inlineStr">
        <is>
          <t>V</t>
        </is>
      </c>
      <c r="N4" s="22" t="inlineStr">
        <is>
          <t>S</t>
        </is>
      </c>
      <c r="O4" s="22" t="inlineStr">
        <is>
          <t>D</t>
        </is>
      </c>
      <c r="Q4" s="22" t="inlineStr">
        <is>
          <t>L</t>
        </is>
      </c>
      <c r="R4" s="22" t="inlineStr">
        <is>
          <t>M</t>
        </is>
      </c>
      <c r="S4" s="22" t="inlineStr">
        <is>
          <t>M</t>
        </is>
      </c>
      <c r="T4" s="22" t="inlineStr">
        <is>
          <t>J</t>
        </is>
      </c>
      <c r="U4" s="22" t="inlineStr">
        <is>
          <t>V</t>
        </is>
      </c>
      <c r="V4" s="22" t="inlineStr">
        <is>
          <t>S</t>
        </is>
      </c>
      <c r="W4" s="22" t="inlineStr">
        <is>
          <t>D</t>
        </is>
      </c>
    </row>
    <row r="5">
      <c r="A5" s="23">
        <f>IF(MONTH($Y$3+0)=1,$Y$3+0,"")</f>
        <v/>
      </c>
      <c r="B5" s="23">
        <f>IF(MONTH($Y$3+1)=1,$Y$3+1,"")</f>
        <v/>
      </c>
      <c r="C5" s="23">
        <f>IF(MONTH($Y$3+2)=1,$Y$3+2,"")</f>
        <v/>
      </c>
      <c r="D5" s="23">
        <f>IF(MONTH($Y$3+3)=1,$Y$3+3,"")</f>
        <v/>
      </c>
      <c r="E5" s="23">
        <f>IF(MONTH($Y$3+4)=1,$Y$3+4,"")</f>
        <v/>
      </c>
      <c r="F5" s="24">
        <f>IF(MONTH($Y$3+5)=1,$Y$3+5,"")</f>
        <v/>
      </c>
      <c r="G5" s="24">
        <f>IF(MONTH($Y$3+6)=1,$Y$3+6,"")</f>
        <v/>
      </c>
      <c r="I5" s="23">
        <f>IF(MONTH($Z$3+0)=2,$Z$3+0,"")</f>
        <v/>
      </c>
      <c r="J5" s="23">
        <f>IF(MONTH($Z$3+1)=2,$Z$3+1,"")</f>
        <v/>
      </c>
      <c r="K5" s="23">
        <f>IF(MONTH($Z$3+2)=2,$Z$3+2,"")</f>
        <v/>
      </c>
      <c r="L5" s="23">
        <f>IF(MONTH($Z$3+3)=2,$Z$3+3,"")</f>
        <v/>
      </c>
      <c r="M5" s="23">
        <f>IF(MONTH($Z$3+4)=2,$Z$3+4,"")</f>
        <v/>
      </c>
      <c r="N5" s="24">
        <f>IF(MONTH($Z$3+5)=2,$Z$3+5,"")</f>
        <v/>
      </c>
      <c r="O5" s="24">
        <f>IF(MONTH($Z$3+6)=2,$Z$3+6,"")</f>
        <v/>
      </c>
      <c r="Q5" s="23">
        <f>IF(MONTH($AA$3+0)=3,$AA$3+0,"")</f>
        <v/>
      </c>
      <c r="R5" s="23">
        <f>IF(MONTH($AA$3+1)=3,$AA$3+1,"")</f>
        <v/>
      </c>
      <c r="S5" s="23">
        <f>IF(MONTH($AA$3+2)=3,$AA$3+2,"")</f>
        <v/>
      </c>
      <c r="T5" s="23">
        <f>IF(MONTH($AA$3+3)=3,$AA$3+3,"")</f>
        <v/>
      </c>
      <c r="U5" s="23">
        <f>IF(MONTH($AA$3+4)=3,$AA$3+4,"")</f>
        <v/>
      </c>
      <c r="V5" s="24">
        <f>IF(MONTH($AA$3+5)=3,$AA$3+5,"")</f>
        <v/>
      </c>
      <c r="W5" s="24">
        <f>IF(MONTH($AA$3+6)=3,$AA$3+6,"")</f>
        <v/>
      </c>
    </row>
    <row r="6">
      <c r="A6" s="23">
        <f>IF(MONTH($Y$3+7)=1,$Y$3+7,"")</f>
        <v/>
      </c>
      <c r="B6" s="23">
        <f>IF(MONTH($Y$3+8)=1,$Y$3+8,"")</f>
        <v/>
      </c>
      <c r="C6" s="23">
        <f>IF(MONTH($Y$3+9)=1,$Y$3+9,"")</f>
        <v/>
      </c>
      <c r="D6" s="23">
        <f>IF(MONTH($Y$3+10)=1,$Y$3+10,"")</f>
        <v/>
      </c>
      <c r="E6" s="23">
        <f>IF(MONTH($Y$3+11)=1,$Y$3+11,"")</f>
        <v/>
      </c>
      <c r="F6" s="24">
        <f>IF(MONTH($Y$3+12)=1,$Y$3+12,"")</f>
        <v/>
      </c>
      <c r="G6" s="24">
        <f>IF(MONTH($Y$3+13)=1,$Y$3+13,"")</f>
        <v/>
      </c>
      <c r="I6" s="23">
        <f>IF(MONTH($Z$3+7)=2,$Z$3+7,"")</f>
        <v/>
      </c>
      <c r="J6" s="23">
        <f>IF(MONTH($Z$3+8)=2,$Z$3+8,"")</f>
        <v/>
      </c>
      <c r="K6" s="23">
        <f>IF(MONTH($Z$3+9)=2,$Z$3+9,"")</f>
        <v/>
      </c>
      <c r="L6" s="23">
        <f>IF(MONTH($Z$3+10)=2,$Z$3+10,"")</f>
        <v/>
      </c>
      <c r="M6" s="23">
        <f>IF(MONTH($Z$3+11)=2,$Z$3+11,"")</f>
        <v/>
      </c>
      <c r="N6" s="24">
        <f>IF(MONTH($Z$3+12)=2,$Z$3+12,"")</f>
        <v/>
      </c>
      <c r="O6" s="24">
        <f>IF(MONTH($Z$3+13)=2,$Z$3+13,"")</f>
        <v/>
      </c>
      <c r="Q6" s="23">
        <f>IF(MONTH($AA$3+7)=3,$AA$3+7,"")</f>
        <v/>
      </c>
      <c r="R6" s="23">
        <f>IF(MONTH($AA$3+8)=3,$AA$3+8,"")</f>
        <v/>
      </c>
      <c r="S6" s="23">
        <f>IF(MONTH($AA$3+9)=3,$AA$3+9,"")</f>
        <v/>
      </c>
      <c r="T6" s="23">
        <f>IF(MONTH($AA$3+10)=3,$AA$3+10,"")</f>
        <v/>
      </c>
      <c r="U6" s="23">
        <f>IF(MONTH($AA$3+11)=3,$AA$3+11,"")</f>
        <v/>
      </c>
      <c r="V6" s="24">
        <f>IF(MONTH($AA$3+12)=3,$AA$3+12,"")</f>
        <v/>
      </c>
      <c r="W6" s="24">
        <f>IF(MONTH($AA$3+13)=3,$AA$3+13,"")</f>
        <v/>
      </c>
    </row>
    <row r="7">
      <c r="A7" s="23">
        <f>IF(MONTH($Y$3+14)=1,$Y$3+14,"")</f>
        <v/>
      </c>
      <c r="B7" s="23">
        <f>IF(MONTH($Y$3+15)=1,$Y$3+15,"")</f>
        <v/>
      </c>
      <c r="C7" s="23">
        <f>IF(MONTH($Y$3+16)=1,$Y$3+16,"")</f>
        <v/>
      </c>
      <c r="D7" s="23">
        <f>IF(MONTH($Y$3+17)=1,$Y$3+17,"")</f>
        <v/>
      </c>
      <c r="E7" s="23">
        <f>IF(MONTH($Y$3+18)=1,$Y$3+18,"")</f>
        <v/>
      </c>
      <c r="F7" s="24">
        <f>IF(MONTH($Y$3+19)=1,$Y$3+19,"")</f>
        <v/>
      </c>
      <c r="G7" s="24">
        <f>IF(MONTH($Y$3+20)=1,$Y$3+20,"")</f>
        <v/>
      </c>
      <c r="I7" s="23">
        <f>IF(MONTH($Z$3+14)=2,$Z$3+14,"")</f>
        <v/>
      </c>
      <c r="J7" s="23">
        <f>IF(MONTH($Z$3+15)=2,$Z$3+15,"")</f>
        <v/>
      </c>
      <c r="K7" s="23">
        <f>IF(MONTH($Z$3+16)=2,$Z$3+16,"")</f>
        <v/>
      </c>
      <c r="L7" s="23">
        <f>IF(MONTH($Z$3+17)=2,$Z$3+17,"")</f>
        <v/>
      </c>
      <c r="M7" s="23">
        <f>IF(MONTH($Z$3+18)=2,$Z$3+18,"")</f>
        <v/>
      </c>
      <c r="N7" s="24">
        <f>IF(MONTH($Z$3+19)=2,$Z$3+19,"")</f>
        <v/>
      </c>
      <c r="O7" s="24">
        <f>IF(MONTH($Z$3+20)=2,$Z$3+20,"")</f>
        <v/>
      </c>
      <c r="Q7" s="23">
        <f>IF(MONTH($AA$3+14)=3,$AA$3+14,"")</f>
        <v/>
      </c>
      <c r="R7" s="23">
        <f>IF(MONTH($AA$3+15)=3,$AA$3+15,"")</f>
        <v/>
      </c>
      <c r="S7" s="23">
        <f>IF(MONTH($AA$3+16)=3,$AA$3+16,"")</f>
        <v/>
      </c>
      <c r="T7" s="23">
        <f>IF(MONTH($AA$3+17)=3,$AA$3+17,"")</f>
        <v/>
      </c>
      <c r="U7" s="23">
        <f>IF(MONTH($AA$3+18)=3,$AA$3+18,"")</f>
        <v/>
      </c>
      <c r="V7" s="24">
        <f>IF(MONTH($AA$3+19)=3,$AA$3+19,"")</f>
        <v/>
      </c>
      <c r="W7" s="24">
        <f>IF(MONTH($AA$3+20)=3,$AA$3+20,"")</f>
        <v/>
      </c>
    </row>
    <row r="8">
      <c r="A8" s="23">
        <f>IF(MONTH($Y$3+21)=1,$Y$3+21,"")</f>
        <v/>
      </c>
      <c r="B8" s="23">
        <f>IF(MONTH($Y$3+22)=1,$Y$3+22,"")</f>
        <v/>
      </c>
      <c r="C8" s="23">
        <f>IF(MONTH($Y$3+23)=1,$Y$3+23,"")</f>
        <v/>
      </c>
      <c r="D8" s="23">
        <f>IF(MONTH($Y$3+24)=1,$Y$3+24,"")</f>
        <v/>
      </c>
      <c r="E8" s="23">
        <f>IF(MONTH($Y$3+25)=1,$Y$3+25,"")</f>
        <v/>
      </c>
      <c r="F8" s="24">
        <f>IF(MONTH($Y$3+26)=1,$Y$3+26,"")</f>
        <v/>
      </c>
      <c r="G8" s="24">
        <f>IF(MONTH($Y$3+27)=1,$Y$3+27,"")</f>
        <v/>
      </c>
      <c r="I8" s="23">
        <f>IF(MONTH($Z$3+21)=2,$Z$3+21,"")</f>
        <v/>
      </c>
      <c r="J8" s="23">
        <f>IF(MONTH($Z$3+22)=2,$Z$3+22,"")</f>
        <v/>
      </c>
      <c r="K8" s="23">
        <f>IF(MONTH($Z$3+23)=2,$Z$3+23,"")</f>
        <v/>
      </c>
      <c r="L8" s="23">
        <f>IF(MONTH($Z$3+24)=2,$Z$3+24,"")</f>
        <v/>
      </c>
      <c r="M8" s="23">
        <f>IF(MONTH($Z$3+25)=2,$Z$3+25,"")</f>
        <v/>
      </c>
      <c r="N8" s="24">
        <f>IF(MONTH($Z$3+26)=2,$Z$3+26,"")</f>
        <v/>
      </c>
      <c r="O8" s="24">
        <f>IF(MONTH($Z$3+27)=2,$Z$3+27,"")</f>
        <v/>
      </c>
      <c r="Q8" s="23">
        <f>IF(MONTH($AA$3+21)=3,$AA$3+21,"")</f>
        <v/>
      </c>
      <c r="R8" s="23">
        <f>IF(MONTH($AA$3+22)=3,$AA$3+22,"")</f>
        <v/>
      </c>
      <c r="S8" s="23">
        <f>IF(MONTH($AA$3+23)=3,$AA$3+23,"")</f>
        <v/>
      </c>
      <c r="T8" s="23">
        <f>IF(MONTH($AA$3+24)=3,$AA$3+24,"")</f>
        <v/>
      </c>
      <c r="U8" s="23">
        <f>IF(MONTH($AA$3+25)=3,$AA$3+25,"")</f>
        <v/>
      </c>
      <c r="V8" s="24">
        <f>IF(MONTH($AA$3+26)=3,$AA$3+26,"")</f>
        <v/>
      </c>
      <c r="W8" s="24">
        <f>IF(MONTH($AA$3+27)=3,$AA$3+27,"")</f>
        <v/>
      </c>
    </row>
    <row r="9">
      <c r="A9" s="23">
        <f>IF(MONTH($Y$3+28)=1,$Y$3+28,"")</f>
        <v/>
      </c>
      <c r="B9" s="23">
        <f>IF(MONTH($Y$3+29)=1,$Y$3+29,"")</f>
        <v/>
      </c>
      <c r="C9" s="23">
        <f>IF(MONTH($Y$3+30)=1,$Y$3+30,"")</f>
        <v/>
      </c>
      <c r="D9" s="23">
        <f>IF(MONTH($Y$3+31)=1,$Y$3+31,"")</f>
        <v/>
      </c>
      <c r="E9" s="23">
        <f>IF(MONTH($Y$3+32)=1,$Y$3+32,"")</f>
        <v/>
      </c>
      <c r="F9" s="24">
        <f>IF(MONTH($Y$3+33)=1,$Y$3+33,"")</f>
        <v/>
      </c>
      <c r="G9" s="24">
        <f>IF(MONTH($Y$3+34)=1,$Y$3+34,"")</f>
        <v/>
      </c>
      <c r="I9" s="23">
        <f>IF(MONTH($Z$3+28)=2,$Z$3+28,"")</f>
        <v/>
      </c>
      <c r="J9" s="23">
        <f>IF(MONTH($Z$3+29)=2,$Z$3+29,"")</f>
        <v/>
      </c>
      <c r="K9" s="23">
        <f>IF(MONTH($Z$3+30)=2,$Z$3+30,"")</f>
        <v/>
      </c>
      <c r="L9" s="23">
        <f>IF(MONTH($Z$3+31)=2,$Z$3+31,"")</f>
        <v/>
      </c>
      <c r="M9" s="23">
        <f>IF(MONTH($Z$3+32)=2,$Z$3+32,"")</f>
        <v/>
      </c>
      <c r="N9" s="24">
        <f>IF(MONTH($Z$3+33)=2,$Z$3+33,"")</f>
        <v/>
      </c>
      <c r="O9" s="24">
        <f>IF(MONTH($Z$3+34)=2,$Z$3+34,"")</f>
        <v/>
      </c>
      <c r="Q9" s="23">
        <f>IF(MONTH($AA$3+28)=3,$AA$3+28,"")</f>
        <v/>
      </c>
      <c r="R9" s="23">
        <f>IF(MONTH($AA$3+29)=3,$AA$3+29,"")</f>
        <v/>
      </c>
      <c r="S9" s="23">
        <f>IF(MONTH($AA$3+30)=3,$AA$3+30,"")</f>
        <v/>
      </c>
      <c r="T9" s="23">
        <f>IF(MONTH($AA$3+31)=3,$AA$3+31,"")</f>
        <v/>
      </c>
      <c r="U9" s="23">
        <f>IF(MONTH($AA$3+32)=3,$AA$3+32,"")</f>
        <v/>
      </c>
      <c r="V9" s="24">
        <f>IF(MONTH($AA$3+33)=3,$AA$3+33,"")</f>
        <v/>
      </c>
      <c r="W9" s="24">
        <f>IF(MONTH($AA$3+34)=3,$AA$3+34,"")</f>
        <v/>
      </c>
    </row>
    <row r="10">
      <c r="A10" s="23">
        <f>IF(MONTH($Y$3+35)=1,$Y$3+35,"")</f>
        <v/>
      </c>
      <c r="B10" s="23">
        <f>IF(MONTH($Y$3+36)=1,$Y$3+36,"")</f>
        <v/>
      </c>
      <c r="C10" s="23">
        <f>IF(MONTH($Y$3+37)=1,$Y$3+37,"")</f>
        <v/>
      </c>
      <c r="D10" s="23">
        <f>IF(MONTH($Y$3+38)=1,$Y$3+38,"")</f>
        <v/>
      </c>
      <c r="E10" s="23">
        <f>IF(MONTH($Y$3+39)=1,$Y$3+39,"")</f>
        <v/>
      </c>
      <c r="F10" s="24">
        <f>IF(MONTH($Y$3+40)=1,$Y$3+40,"")</f>
        <v/>
      </c>
      <c r="G10" s="24">
        <f>IF(MONTH($Y$3+41)=1,$Y$3+41,"")</f>
        <v/>
      </c>
      <c r="I10" s="23">
        <f>IF(MONTH($Z$3+35)=2,$Z$3+35,"")</f>
        <v/>
      </c>
      <c r="J10" s="23">
        <f>IF(MONTH($Z$3+36)=2,$Z$3+36,"")</f>
        <v/>
      </c>
      <c r="K10" s="23">
        <f>IF(MONTH($Z$3+37)=2,$Z$3+37,"")</f>
        <v/>
      </c>
      <c r="L10" s="23">
        <f>IF(MONTH($Z$3+38)=2,$Z$3+38,"")</f>
        <v/>
      </c>
      <c r="M10" s="23">
        <f>IF(MONTH($Z$3+39)=2,$Z$3+39,"")</f>
        <v/>
      </c>
      <c r="N10" s="24">
        <f>IF(MONTH($Z$3+40)=2,$Z$3+40,"")</f>
        <v/>
      </c>
      <c r="O10" s="24">
        <f>IF(MONTH($Z$3+41)=2,$Z$3+41,"")</f>
        <v/>
      </c>
      <c r="Q10" s="23">
        <f>IF(MONTH($AA$3+35)=3,$AA$3+35,"")</f>
        <v/>
      </c>
      <c r="R10" s="23">
        <f>IF(MONTH($AA$3+36)=3,$AA$3+36,"")</f>
        <v/>
      </c>
      <c r="S10" s="23">
        <f>IF(MONTH($AA$3+37)=3,$AA$3+37,"")</f>
        <v/>
      </c>
      <c r="T10" s="23">
        <f>IF(MONTH($AA$3+38)=3,$AA$3+38,"")</f>
        <v/>
      </c>
      <c r="U10" s="23">
        <f>IF(MONTH($AA$3+39)=3,$AA$3+39,"")</f>
        <v/>
      </c>
      <c r="V10" s="24">
        <f>IF(MONTH($AA$3+40)=3,$AA$3+40,"")</f>
        <v/>
      </c>
      <c r="W10" s="24">
        <f>IF(MONTH($AA$3+41)=3,$AA$3+41,"")</f>
        <v/>
      </c>
    </row>
    <row r="12">
      <c r="A12" s="20">
        <f>DATE($A$1,4,1)</f>
        <v/>
      </c>
      <c r="I12" s="20">
        <f>DATE($A$1,5,1)</f>
        <v/>
      </c>
      <c r="Q12" s="20">
        <f>DATE($A$1,6,1)</f>
        <v/>
      </c>
      <c r="Y12" s="21">
        <f>A12-WEEKDAY(A12,2)+1</f>
        <v/>
      </c>
      <c r="Z12" s="21">
        <f>I12-WEEKDAY(I12,2)+1</f>
        <v/>
      </c>
      <c r="AA12" s="21">
        <f>Q12-WEEKDAY(Q12,2)+1</f>
        <v/>
      </c>
    </row>
    <row r="13">
      <c r="A13" s="22" t="inlineStr">
        <is>
          <t>L</t>
        </is>
      </c>
      <c r="B13" s="22" t="inlineStr">
        <is>
          <t>M</t>
        </is>
      </c>
      <c r="C13" s="22" t="inlineStr">
        <is>
          <t>M</t>
        </is>
      </c>
      <c r="D13" s="22" t="inlineStr">
        <is>
          <t>J</t>
        </is>
      </c>
      <c r="E13" s="22" t="inlineStr">
        <is>
          <t>V</t>
        </is>
      </c>
      <c r="F13" s="22" t="inlineStr">
        <is>
          <t>S</t>
        </is>
      </c>
      <c r="G13" s="22" t="inlineStr">
        <is>
          <t>D</t>
        </is>
      </c>
      <c r="I13" s="22" t="inlineStr">
        <is>
          <t>L</t>
        </is>
      </c>
      <c r="J13" s="22" t="inlineStr">
        <is>
          <t>M</t>
        </is>
      </c>
      <c r="K13" s="22" t="inlineStr">
        <is>
          <t>M</t>
        </is>
      </c>
      <c r="L13" s="22" t="inlineStr">
        <is>
          <t>J</t>
        </is>
      </c>
      <c r="M13" s="22" t="inlineStr">
        <is>
          <t>V</t>
        </is>
      </c>
      <c r="N13" s="22" t="inlineStr">
        <is>
          <t>S</t>
        </is>
      </c>
      <c r="O13" s="22" t="inlineStr">
        <is>
          <t>D</t>
        </is>
      </c>
      <c r="Q13" s="22" t="inlineStr">
        <is>
          <t>L</t>
        </is>
      </c>
      <c r="R13" s="22" t="inlineStr">
        <is>
          <t>M</t>
        </is>
      </c>
      <c r="S13" s="22" t="inlineStr">
        <is>
          <t>M</t>
        </is>
      </c>
      <c r="T13" s="22" t="inlineStr">
        <is>
          <t>J</t>
        </is>
      </c>
      <c r="U13" s="22" t="inlineStr">
        <is>
          <t>V</t>
        </is>
      </c>
      <c r="V13" s="22" t="inlineStr">
        <is>
          <t>S</t>
        </is>
      </c>
      <c r="W13" s="22" t="inlineStr">
        <is>
          <t>D</t>
        </is>
      </c>
    </row>
    <row r="14">
      <c r="A14" s="23">
        <f>IF(MONTH($Y$12+0)=4,$Y$12+0,"")</f>
        <v/>
      </c>
      <c r="B14" s="23">
        <f>IF(MONTH($Y$12+1)=4,$Y$12+1,"")</f>
        <v/>
      </c>
      <c r="C14" s="23">
        <f>IF(MONTH($Y$12+2)=4,$Y$12+2,"")</f>
        <v/>
      </c>
      <c r="D14" s="23">
        <f>IF(MONTH($Y$12+3)=4,$Y$12+3,"")</f>
        <v/>
      </c>
      <c r="E14" s="23">
        <f>IF(MONTH($Y$12+4)=4,$Y$12+4,"")</f>
        <v/>
      </c>
      <c r="F14" s="24">
        <f>IF(MONTH($Y$12+5)=4,$Y$12+5,"")</f>
        <v/>
      </c>
      <c r="G14" s="24">
        <f>IF(MONTH($Y$12+6)=4,$Y$12+6,"")</f>
        <v/>
      </c>
      <c r="I14" s="23">
        <f>IF(MONTH($Z$12+0)=5,$Z$12+0,"")</f>
        <v/>
      </c>
      <c r="J14" s="23">
        <f>IF(MONTH($Z$12+1)=5,$Z$12+1,"")</f>
        <v/>
      </c>
      <c r="K14" s="23">
        <f>IF(MONTH($Z$12+2)=5,$Z$12+2,"")</f>
        <v/>
      </c>
      <c r="L14" s="23">
        <f>IF(MONTH($Z$12+3)=5,$Z$12+3,"")</f>
        <v/>
      </c>
      <c r="M14" s="23">
        <f>IF(MONTH($Z$12+4)=5,$Z$12+4,"")</f>
        <v/>
      </c>
      <c r="N14" s="24">
        <f>IF(MONTH($Z$12+5)=5,$Z$12+5,"")</f>
        <v/>
      </c>
      <c r="O14" s="24">
        <f>IF(MONTH($Z$12+6)=5,$Z$12+6,"")</f>
        <v/>
      </c>
      <c r="Q14" s="23">
        <f>IF(MONTH($AA$12+0)=6,$AA$12+0,"")</f>
        <v/>
      </c>
      <c r="R14" s="23">
        <f>IF(MONTH($AA$12+1)=6,$AA$12+1,"")</f>
        <v/>
      </c>
      <c r="S14" s="23">
        <f>IF(MONTH($AA$12+2)=6,$AA$12+2,"")</f>
        <v/>
      </c>
      <c r="T14" s="23">
        <f>IF(MONTH($AA$12+3)=6,$AA$12+3,"")</f>
        <v/>
      </c>
      <c r="U14" s="23">
        <f>IF(MONTH($AA$12+4)=6,$AA$12+4,"")</f>
        <v/>
      </c>
      <c r="V14" s="24">
        <f>IF(MONTH($AA$12+5)=6,$AA$12+5,"")</f>
        <v/>
      </c>
      <c r="W14" s="24">
        <f>IF(MONTH($AA$12+6)=6,$AA$12+6,"")</f>
        <v/>
      </c>
    </row>
    <row r="15">
      <c r="A15" s="23">
        <f>IF(MONTH($Y$12+7)=4,$Y$12+7,"")</f>
        <v/>
      </c>
      <c r="B15" s="23">
        <f>IF(MONTH($Y$12+8)=4,$Y$12+8,"")</f>
        <v/>
      </c>
      <c r="C15" s="23">
        <f>IF(MONTH($Y$12+9)=4,$Y$12+9,"")</f>
        <v/>
      </c>
      <c r="D15" s="23">
        <f>IF(MONTH($Y$12+10)=4,$Y$12+10,"")</f>
        <v/>
      </c>
      <c r="E15" s="23">
        <f>IF(MONTH($Y$12+11)=4,$Y$12+11,"")</f>
        <v/>
      </c>
      <c r="F15" s="24">
        <f>IF(MONTH($Y$12+12)=4,$Y$12+12,"")</f>
        <v/>
      </c>
      <c r="G15" s="24">
        <f>IF(MONTH($Y$12+13)=4,$Y$12+13,"")</f>
        <v/>
      </c>
      <c r="I15" s="23">
        <f>IF(MONTH($Z$12+7)=5,$Z$12+7,"")</f>
        <v/>
      </c>
      <c r="J15" s="23">
        <f>IF(MONTH($Z$12+8)=5,$Z$12+8,"")</f>
        <v/>
      </c>
      <c r="K15" s="23">
        <f>IF(MONTH($Z$12+9)=5,$Z$12+9,"")</f>
        <v/>
      </c>
      <c r="L15" s="23">
        <f>IF(MONTH($Z$12+10)=5,$Z$12+10,"")</f>
        <v/>
      </c>
      <c r="M15" s="23">
        <f>IF(MONTH($Z$12+11)=5,$Z$12+11,"")</f>
        <v/>
      </c>
      <c r="N15" s="24">
        <f>IF(MONTH($Z$12+12)=5,$Z$12+12,"")</f>
        <v/>
      </c>
      <c r="O15" s="24">
        <f>IF(MONTH($Z$12+13)=5,$Z$12+13,"")</f>
        <v/>
      </c>
      <c r="Q15" s="23">
        <f>IF(MONTH($AA$12+7)=6,$AA$12+7,"")</f>
        <v/>
      </c>
      <c r="R15" s="23">
        <f>IF(MONTH($AA$12+8)=6,$AA$12+8,"")</f>
        <v/>
      </c>
      <c r="S15" s="23">
        <f>IF(MONTH($AA$12+9)=6,$AA$12+9,"")</f>
        <v/>
      </c>
      <c r="T15" s="23">
        <f>IF(MONTH($AA$12+10)=6,$AA$12+10,"")</f>
        <v/>
      </c>
      <c r="U15" s="23">
        <f>IF(MONTH($AA$12+11)=6,$AA$12+11,"")</f>
        <v/>
      </c>
      <c r="V15" s="24">
        <f>IF(MONTH($AA$12+12)=6,$AA$12+12,"")</f>
        <v/>
      </c>
      <c r="W15" s="24">
        <f>IF(MONTH($AA$12+13)=6,$AA$12+13,"")</f>
        <v/>
      </c>
    </row>
    <row r="16">
      <c r="A16" s="23">
        <f>IF(MONTH($Y$12+14)=4,$Y$12+14,"")</f>
        <v/>
      </c>
      <c r="B16" s="23">
        <f>IF(MONTH($Y$12+15)=4,$Y$12+15,"")</f>
        <v/>
      </c>
      <c r="C16" s="23">
        <f>IF(MONTH($Y$12+16)=4,$Y$12+16,"")</f>
        <v/>
      </c>
      <c r="D16" s="23">
        <f>IF(MONTH($Y$12+17)=4,$Y$12+17,"")</f>
        <v/>
      </c>
      <c r="E16" s="23">
        <f>IF(MONTH($Y$12+18)=4,$Y$12+18,"")</f>
        <v/>
      </c>
      <c r="F16" s="24">
        <f>IF(MONTH($Y$12+19)=4,$Y$12+19,"")</f>
        <v/>
      </c>
      <c r="G16" s="24">
        <f>IF(MONTH($Y$12+20)=4,$Y$12+20,"")</f>
        <v/>
      </c>
      <c r="I16" s="23">
        <f>IF(MONTH($Z$12+14)=5,$Z$12+14,"")</f>
        <v/>
      </c>
      <c r="J16" s="23">
        <f>IF(MONTH($Z$12+15)=5,$Z$12+15,"")</f>
        <v/>
      </c>
      <c r="K16" s="23">
        <f>IF(MONTH($Z$12+16)=5,$Z$12+16,"")</f>
        <v/>
      </c>
      <c r="L16" s="23">
        <f>IF(MONTH($Z$12+17)=5,$Z$12+17,"")</f>
        <v/>
      </c>
      <c r="M16" s="23">
        <f>IF(MONTH($Z$12+18)=5,$Z$12+18,"")</f>
        <v/>
      </c>
      <c r="N16" s="24">
        <f>IF(MONTH($Z$12+19)=5,$Z$12+19,"")</f>
        <v/>
      </c>
      <c r="O16" s="24">
        <f>IF(MONTH($Z$12+20)=5,$Z$12+20,"")</f>
        <v/>
      </c>
      <c r="Q16" s="23">
        <f>IF(MONTH($AA$12+14)=6,$AA$12+14,"")</f>
        <v/>
      </c>
      <c r="R16" s="23">
        <f>IF(MONTH($AA$12+15)=6,$AA$12+15,"")</f>
        <v/>
      </c>
      <c r="S16" s="23">
        <f>IF(MONTH($AA$12+16)=6,$AA$12+16,"")</f>
        <v/>
      </c>
      <c r="T16" s="23">
        <f>IF(MONTH($AA$12+17)=6,$AA$12+17,"")</f>
        <v/>
      </c>
      <c r="U16" s="23">
        <f>IF(MONTH($AA$12+18)=6,$AA$12+18,"")</f>
        <v/>
      </c>
      <c r="V16" s="24">
        <f>IF(MONTH($AA$12+19)=6,$AA$12+19,"")</f>
        <v/>
      </c>
      <c r="W16" s="24">
        <f>IF(MONTH($AA$12+20)=6,$AA$12+20,"")</f>
        <v/>
      </c>
    </row>
    <row r="17">
      <c r="A17" s="23">
        <f>IF(MONTH($Y$12+21)=4,$Y$12+21,"")</f>
        <v/>
      </c>
      <c r="B17" s="23">
        <f>IF(MONTH($Y$12+22)=4,$Y$12+22,"")</f>
        <v/>
      </c>
      <c r="C17" s="23">
        <f>IF(MONTH($Y$12+23)=4,$Y$12+23,"")</f>
        <v/>
      </c>
      <c r="D17" s="23">
        <f>IF(MONTH($Y$12+24)=4,$Y$12+24,"")</f>
        <v/>
      </c>
      <c r="E17" s="23">
        <f>IF(MONTH($Y$12+25)=4,$Y$12+25,"")</f>
        <v/>
      </c>
      <c r="F17" s="24">
        <f>IF(MONTH($Y$12+26)=4,$Y$12+26,"")</f>
        <v/>
      </c>
      <c r="G17" s="24">
        <f>IF(MONTH($Y$12+27)=4,$Y$12+27,"")</f>
        <v/>
      </c>
      <c r="I17" s="23">
        <f>IF(MONTH($Z$12+21)=5,$Z$12+21,"")</f>
        <v/>
      </c>
      <c r="J17" s="23">
        <f>IF(MONTH($Z$12+22)=5,$Z$12+22,"")</f>
        <v/>
      </c>
      <c r="K17" s="23">
        <f>IF(MONTH($Z$12+23)=5,$Z$12+23,"")</f>
        <v/>
      </c>
      <c r="L17" s="23">
        <f>IF(MONTH($Z$12+24)=5,$Z$12+24,"")</f>
        <v/>
      </c>
      <c r="M17" s="23">
        <f>IF(MONTH($Z$12+25)=5,$Z$12+25,"")</f>
        <v/>
      </c>
      <c r="N17" s="24">
        <f>IF(MONTH($Z$12+26)=5,$Z$12+26,"")</f>
        <v/>
      </c>
      <c r="O17" s="24">
        <f>IF(MONTH($Z$12+27)=5,$Z$12+27,"")</f>
        <v/>
      </c>
      <c r="Q17" s="23">
        <f>IF(MONTH($AA$12+21)=6,$AA$12+21,"")</f>
        <v/>
      </c>
      <c r="R17" s="23">
        <f>IF(MONTH($AA$12+22)=6,$AA$12+22,"")</f>
        <v/>
      </c>
      <c r="S17" s="23">
        <f>IF(MONTH($AA$12+23)=6,$AA$12+23,"")</f>
        <v/>
      </c>
      <c r="T17" s="23">
        <f>IF(MONTH($AA$12+24)=6,$AA$12+24,"")</f>
        <v/>
      </c>
      <c r="U17" s="23">
        <f>IF(MONTH($AA$12+25)=6,$AA$12+25,"")</f>
        <v/>
      </c>
      <c r="V17" s="24">
        <f>IF(MONTH($AA$12+26)=6,$AA$12+26,"")</f>
        <v/>
      </c>
      <c r="W17" s="24">
        <f>IF(MONTH($AA$12+27)=6,$AA$12+27,"")</f>
        <v/>
      </c>
    </row>
    <row r="18">
      <c r="A18" s="23">
        <f>IF(MONTH($Y$12+28)=4,$Y$12+28,"")</f>
        <v/>
      </c>
      <c r="B18" s="23">
        <f>IF(MONTH($Y$12+29)=4,$Y$12+29,"")</f>
        <v/>
      </c>
      <c r="C18" s="23">
        <f>IF(MONTH($Y$12+30)=4,$Y$12+30,"")</f>
        <v/>
      </c>
      <c r="D18" s="23">
        <f>IF(MONTH($Y$12+31)=4,$Y$12+31,"")</f>
        <v/>
      </c>
      <c r="E18" s="23">
        <f>IF(MONTH($Y$12+32)=4,$Y$12+32,"")</f>
        <v/>
      </c>
      <c r="F18" s="24">
        <f>IF(MONTH($Y$12+33)=4,$Y$12+33,"")</f>
        <v/>
      </c>
      <c r="G18" s="24">
        <f>IF(MONTH($Y$12+34)=4,$Y$12+34,"")</f>
        <v/>
      </c>
      <c r="I18" s="23">
        <f>IF(MONTH($Z$12+28)=5,$Z$12+28,"")</f>
        <v/>
      </c>
      <c r="J18" s="23">
        <f>IF(MONTH($Z$12+29)=5,$Z$12+29,"")</f>
        <v/>
      </c>
      <c r="K18" s="23">
        <f>IF(MONTH($Z$12+30)=5,$Z$12+30,"")</f>
        <v/>
      </c>
      <c r="L18" s="23">
        <f>IF(MONTH($Z$12+31)=5,$Z$12+31,"")</f>
        <v/>
      </c>
      <c r="M18" s="23">
        <f>IF(MONTH($Z$12+32)=5,$Z$12+32,"")</f>
        <v/>
      </c>
      <c r="N18" s="24">
        <f>IF(MONTH($Z$12+33)=5,$Z$12+33,"")</f>
        <v/>
      </c>
      <c r="O18" s="24">
        <f>IF(MONTH($Z$12+34)=5,$Z$12+34,"")</f>
        <v/>
      </c>
      <c r="Q18" s="23">
        <f>IF(MONTH($AA$12+28)=6,$AA$12+28,"")</f>
        <v/>
      </c>
      <c r="R18" s="23">
        <f>IF(MONTH($AA$12+29)=6,$AA$12+29,"")</f>
        <v/>
      </c>
      <c r="S18" s="23">
        <f>IF(MONTH($AA$12+30)=6,$AA$12+30,"")</f>
        <v/>
      </c>
      <c r="T18" s="23">
        <f>IF(MONTH($AA$12+31)=6,$AA$12+31,"")</f>
        <v/>
      </c>
      <c r="U18" s="23">
        <f>IF(MONTH($AA$12+32)=6,$AA$12+32,"")</f>
        <v/>
      </c>
      <c r="V18" s="24">
        <f>IF(MONTH($AA$12+33)=6,$AA$12+33,"")</f>
        <v/>
      </c>
      <c r="W18" s="24">
        <f>IF(MONTH($AA$12+34)=6,$AA$12+34,"")</f>
        <v/>
      </c>
    </row>
    <row r="19">
      <c r="A19" s="23">
        <f>IF(MONTH($Y$12+35)=4,$Y$12+35,"")</f>
        <v/>
      </c>
      <c r="B19" s="23">
        <f>IF(MONTH($Y$12+36)=4,$Y$12+36,"")</f>
        <v/>
      </c>
      <c r="C19" s="23">
        <f>IF(MONTH($Y$12+37)=4,$Y$12+37,"")</f>
        <v/>
      </c>
      <c r="D19" s="23">
        <f>IF(MONTH($Y$12+38)=4,$Y$12+38,"")</f>
        <v/>
      </c>
      <c r="E19" s="23">
        <f>IF(MONTH($Y$12+39)=4,$Y$12+39,"")</f>
        <v/>
      </c>
      <c r="F19" s="24">
        <f>IF(MONTH($Y$12+40)=4,$Y$12+40,"")</f>
        <v/>
      </c>
      <c r="G19" s="24">
        <f>IF(MONTH($Y$12+41)=4,$Y$12+41,"")</f>
        <v/>
      </c>
      <c r="I19" s="23">
        <f>IF(MONTH($Z$12+35)=5,$Z$12+35,"")</f>
        <v/>
      </c>
      <c r="J19" s="23">
        <f>IF(MONTH($Z$12+36)=5,$Z$12+36,"")</f>
        <v/>
      </c>
      <c r="K19" s="23">
        <f>IF(MONTH($Z$12+37)=5,$Z$12+37,"")</f>
        <v/>
      </c>
      <c r="L19" s="23">
        <f>IF(MONTH($Z$12+38)=5,$Z$12+38,"")</f>
        <v/>
      </c>
      <c r="M19" s="23">
        <f>IF(MONTH($Z$12+39)=5,$Z$12+39,"")</f>
        <v/>
      </c>
      <c r="N19" s="24">
        <f>IF(MONTH($Z$12+40)=5,$Z$12+40,"")</f>
        <v/>
      </c>
      <c r="O19" s="24">
        <f>IF(MONTH($Z$12+41)=5,$Z$12+41,"")</f>
        <v/>
      </c>
      <c r="Q19" s="23">
        <f>IF(MONTH($AA$12+35)=6,$AA$12+35,"")</f>
        <v/>
      </c>
      <c r="R19" s="23">
        <f>IF(MONTH($AA$12+36)=6,$AA$12+36,"")</f>
        <v/>
      </c>
      <c r="S19" s="23">
        <f>IF(MONTH($AA$12+37)=6,$AA$12+37,"")</f>
        <v/>
      </c>
      <c r="T19" s="23">
        <f>IF(MONTH($AA$12+38)=6,$AA$12+38,"")</f>
        <v/>
      </c>
      <c r="U19" s="23">
        <f>IF(MONTH($AA$12+39)=6,$AA$12+39,"")</f>
        <v/>
      </c>
      <c r="V19" s="24">
        <f>IF(MONTH($AA$12+40)=6,$AA$12+40,"")</f>
        <v/>
      </c>
      <c r="W19" s="24">
        <f>IF(MONTH($AA$12+41)=6,$AA$12+41,"")</f>
        <v/>
      </c>
    </row>
    <row r="21">
      <c r="A21" s="20">
        <f>DATE($A$1,7,1)</f>
        <v/>
      </c>
      <c r="I21" s="20">
        <f>DATE($A$1,8,1)</f>
        <v/>
      </c>
      <c r="Q21" s="20">
        <f>DATE($A$1,9,1)</f>
        <v/>
      </c>
      <c r="Y21" s="21">
        <f>A21-WEEKDAY(A21,2)+1</f>
        <v/>
      </c>
      <c r="Z21" s="21">
        <f>I21-WEEKDAY(I21,2)+1</f>
        <v/>
      </c>
      <c r="AA21" s="21">
        <f>Q21-WEEKDAY(Q21,2)+1</f>
        <v/>
      </c>
    </row>
    <row r="22">
      <c r="A22" s="22" t="inlineStr">
        <is>
          <t>L</t>
        </is>
      </c>
      <c r="B22" s="22" t="inlineStr">
        <is>
          <t>M</t>
        </is>
      </c>
      <c r="C22" s="22" t="inlineStr">
        <is>
          <t>M</t>
        </is>
      </c>
      <c r="D22" s="22" t="inlineStr">
        <is>
          <t>J</t>
        </is>
      </c>
      <c r="E22" s="22" t="inlineStr">
        <is>
          <t>V</t>
        </is>
      </c>
      <c r="F22" s="22" t="inlineStr">
        <is>
          <t>S</t>
        </is>
      </c>
      <c r="G22" s="22" t="inlineStr">
        <is>
          <t>D</t>
        </is>
      </c>
      <c r="I22" s="22" t="inlineStr">
        <is>
          <t>L</t>
        </is>
      </c>
      <c r="J22" s="22" t="inlineStr">
        <is>
          <t>M</t>
        </is>
      </c>
      <c r="K22" s="22" t="inlineStr">
        <is>
          <t>M</t>
        </is>
      </c>
      <c r="L22" s="22" t="inlineStr">
        <is>
          <t>J</t>
        </is>
      </c>
      <c r="M22" s="22" t="inlineStr">
        <is>
          <t>V</t>
        </is>
      </c>
      <c r="N22" s="22" t="inlineStr">
        <is>
          <t>S</t>
        </is>
      </c>
      <c r="O22" s="22" t="inlineStr">
        <is>
          <t>D</t>
        </is>
      </c>
      <c r="Q22" s="22" t="inlineStr">
        <is>
          <t>L</t>
        </is>
      </c>
      <c r="R22" s="22" t="inlineStr">
        <is>
          <t>M</t>
        </is>
      </c>
      <c r="S22" s="22" t="inlineStr">
        <is>
          <t>M</t>
        </is>
      </c>
      <c r="T22" s="22" t="inlineStr">
        <is>
          <t>J</t>
        </is>
      </c>
      <c r="U22" s="22" t="inlineStr">
        <is>
          <t>V</t>
        </is>
      </c>
      <c r="V22" s="22" t="inlineStr">
        <is>
          <t>S</t>
        </is>
      </c>
      <c r="W22" s="22" t="inlineStr">
        <is>
          <t>D</t>
        </is>
      </c>
    </row>
    <row r="23">
      <c r="A23" s="23">
        <f>IF(MONTH($Y$21+0)=7,$Y$21+0,"")</f>
        <v/>
      </c>
      <c r="B23" s="23">
        <f>IF(MONTH($Y$21+1)=7,$Y$21+1,"")</f>
        <v/>
      </c>
      <c r="C23" s="23">
        <f>IF(MONTH($Y$21+2)=7,$Y$21+2,"")</f>
        <v/>
      </c>
      <c r="D23" s="23">
        <f>IF(MONTH($Y$21+3)=7,$Y$21+3,"")</f>
        <v/>
      </c>
      <c r="E23" s="23">
        <f>IF(MONTH($Y$21+4)=7,$Y$21+4,"")</f>
        <v/>
      </c>
      <c r="F23" s="24">
        <f>IF(MONTH($Y$21+5)=7,$Y$21+5,"")</f>
        <v/>
      </c>
      <c r="G23" s="24">
        <f>IF(MONTH($Y$21+6)=7,$Y$21+6,"")</f>
        <v/>
      </c>
      <c r="I23" s="23">
        <f>IF(MONTH($Z$21+0)=8,$Z$21+0,"")</f>
        <v/>
      </c>
      <c r="J23" s="23">
        <f>IF(MONTH($Z$21+1)=8,$Z$21+1,"")</f>
        <v/>
      </c>
      <c r="K23" s="23">
        <f>IF(MONTH($Z$21+2)=8,$Z$21+2,"")</f>
        <v/>
      </c>
      <c r="L23" s="23">
        <f>IF(MONTH($Z$21+3)=8,$Z$21+3,"")</f>
        <v/>
      </c>
      <c r="M23" s="23">
        <f>IF(MONTH($Z$21+4)=8,$Z$21+4,"")</f>
        <v/>
      </c>
      <c r="N23" s="24">
        <f>IF(MONTH($Z$21+5)=8,$Z$21+5,"")</f>
        <v/>
      </c>
      <c r="O23" s="24">
        <f>IF(MONTH($Z$21+6)=8,$Z$21+6,"")</f>
        <v/>
      </c>
      <c r="Q23" s="23">
        <f>IF(MONTH($AA$21+0)=9,$AA$21+0,"")</f>
        <v/>
      </c>
      <c r="R23" s="23">
        <f>IF(MONTH($AA$21+1)=9,$AA$21+1,"")</f>
        <v/>
      </c>
      <c r="S23" s="23">
        <f>IF(MONTH($AA$21+2)=9,$AA$21+2,"")</f>
        <v/>
      </c>
      <c r="T23" s="23">
        <f>IF(MONTH($AA$21+3)=9,$AA$21+3,"")</f>
        <v/>
      </c>
      <c r="U23" s="23">
        <f>IF(MONTH($AA$21+4)=9,$AA$21+4,"")</f>
        <v/>
      </c>
      <c r="V23" s="24">
        <f>IF(MONTH($AA$21+5)=9,$AA$21+5,"")</f>
        <v/>
      </c>
      <c r="W23" s="24">
        <f>IF(MONTH($AA$21+6)=9,$AA$21+6,"")</f>
        <v/>
      </c>
    </row>
    <row r="24">
      <c r="A24" s="23">
        <f>IF(MONTH($Y$21+7)=7,$Y$21+7,"")</f>
        <v/>
      </c>
      <c r="B24" s="23">
        <f>IF(MONTH($Y$21+8)=7,$Y$21+8,"")</f>
        <v/>
      </c>
      <c r="C24" s="23">
        <f>IF(MONTH($Y$21+9)=7,$Y$21+9,"")</f>
        <v/>
      </c>
      <c r="D24" s="23">
        <f>IF(MONTH($Y$21+10)=7,$Y$21+10,"")</f>
        <v/>
      </c>
      <c r="E24" s="23">
        <f>IF(MONTH($Y$21+11)=7,$Y$21+11,"")</f>
        <v/>
      </c>
      <c r="F24" s="24">
        <f>IF(MONTH($Y$21+12)=7,$Y$21+12,"")</f>
        <v/>
      </c>
      <c r="G24" s="24">
        <f>IF(MONTH($Y$21+13)=7,$Y$21+13,"")</f>
        <v/>
      </c>
      <c r="I24" s="23">
        <f>IF(MONTH($Z$21+7)=8,$Z$21+7,"")</f>
        <v/>
      </c>
      <c r="J24" s="23">
        <f>IF(MONTH($Z$21+8)=8,$Z$21+8,"")</f>
        <v/>
      </c>
      <c r="K24" s="23">
        <f>IF(MONTH($Z$21+9)=8,$Z$21+9,"")</f>
        <v/>
      </c>
      <c r="L24" s="23">
        <f>IF(MONTH($Z$21+10)=8,$Z$21+10,"")</f>
        <v/>
      </c>
      <c r="M24" s="23">
        <f>IF(MONTH($Z$21+11)=8,$Z$21+11,"")</f>
        <v/>
      </c>
      <c r="N24" s="24">
        <f>IF(MONTH($Z$21+12)=8,$Z$21+12,"")</f>
        <v/>
      </c>
      <c r="O24" s="24">
        <f>IF(MONTH($Z$21+13)=8,$Z$21+13,"")</f>
        <v/>
      </c>
      <c r="Q24" s="23">
        <f>IF(MONTH($AA$21+7)=9,$AA$21+7,"")</f>
        <v/>
      </c>
      <c r="R24" s="23">
        <f>IF(MONTH($AA$21+8)=9,$AA$21+8,"")</f>
        <v/>
      </c>
      <c r="S24" s="23">
        <f>IF(MONTH($AA$21+9)=9,$AA$21+9,"")</f>
        <v/>
      </c>
      <c r="T24" s="23">
        <f>IF(MONTH($AA$21+10)=9,$AA$21+10,"")</f>
        <v/>
      </c>
      <c r="U24" s="23">
        <f>IF(MONTH($AA$21+11)=9,$AA$21+11,"")</f>
        <v/>
      </c>
      <c r="V24" s="24">
        <f>IF(MONTH($AA$21+12)=9,$AA$21+12,"")</f>
        <v/>
      </c>
      <c r="W24" s="24">
        <f>IF(MONTH($AA$21+13)=9,$AA$21+13,"")</f>
        <v/>
      </c>
    </row>
    <row r="25">
      <c r="A25" s="23">
        <f>IF(MONTH($Y$21+14)=7,$Y$21+14,"")</f>
        <v/>
      </c>
      <c r="B25" s="23">
        <f>IF(MONTH($Y$21+15)=7,$Y$21+15,"")</f>
        <v/>
      </c>
      <c r="C25" s="23">
        <f>IF(MONTH($Y$21+16)=7,$Y$21+16,"")</f>
        <v/>
      </c>
      <c r="D25" s="23">
        <f>IF(MONTH($Y$21+17)=7,$Y$21+17,"")</f>
        <v/>
      </c>
      <c r="E25" s="23">
        <f>IF(MONTH($Y$21+18)=7,$Y$21+18,"")</f>
        <v/>
      </c>
      <c r="F25" s="24">
        <f>IF(MONTH($Y$21+19)=7,$Y$21+19,"")</f>
        <v/>
      </c>
      <c r="G25" s="24">
        <f>IF(MONTH($Y$21+20)=7,$Y$21+20,"")</f>
        <v/>
      </c>
      <c r="I25" s="23">
        <f>IF(MONTH($Z$21+14)=8,$Z$21+14,"")</f>
        <v/>
      </c>
      <c r="J25" s="23">
        <f>IF(MONTH($Z$21+15)=8,$Z$21+15,"")</f>
        <v/>
      </c>
      <c r="K25" s="23">
        <f>IF(MONTH($Z$21+16)=8,$Z$21+16,"")</f>
        <v/>
      </c>
      <c r="L25" s="23">
        <f>IF(MONTH($Z$21+17)=8,$Z$21+17,"")</f>
        <v/>
      </c>
      <c r="M25" s="23">
        <f>IF(MONTH($Z$21+18)=8,$Z$21+18,"")</f>
        <v/>
      </c>
      <c r="N25" s="24">
        <f>IF(MONTH($Z$21+19)=8,$Z$21+19,"")</f>
        <v/>
      </c>
      <c r="O25" s="24">
        <f>IF(MONTH($Z$21+20)=8,$Z$21+20,"")</f>
        <v/>
      </c>
      <c r="Q25" s="23">
        <f>IF(MONTH($AA$21+14)=9,$AA$21+14,"")</f>
        <v/>
      </c>
      <c r="R25" s="23">
        <f>IF(MONTH($AA$21+15)=9,$AA$21+15,"")</f>
        <v/>
      </c>
      <c r="S25" s="23">
        <f>IF(MONTH($AA$21+16)=9,$AA$21+16,"")</f>
        <v/>
      </c>
      <c r="T25" s="23">
        <f>IF(MONTH($AA$21+17)=9,$AA$21+17,"")</f>
        <v/>
      </c>
      <c r="U25" s="23">
        <f>IF(MONTH($AA$21+18)=9,$AA$21+18,"")</f>
        <v/>
      </c>
      <c r="V25" s="24">
        <f>IF(MONTH($AA$21+19)=9,$AA$21+19,"")</f>
        <v/>
      </c>
      <c r="W25" s="24">
        <f>IF(MONTH($AA$21+20)=9,$AA$21+20,"")</f>
        <v/>
      </c>
    </row>
    <row r="26">
      <c r="A26" s="23">
        <f>IF(MONTH($Y$21+21)=7,$Y$21+21,"")</f>
        <v/>
      </c>
      <c r="B26" s="23">
        <f>IF(MONTH($Y$21+22)=7,$Y$21+22,"")</f>
        <v/>
      </c>
      <c r="C26" s="23">
        <f>IF(MONTH($Y$21+23)=7,$Y$21+23,"")</f>
        <v/>
      </c>
      <c r="D26" s="23">
        <f>IF(MONTH($Y$21+24)=7,$Y$21+24,"")</f>
        <v/>
      </c>
      <c r="E26" s="23">
        <f>IF(MONTH($Y$21+25)=7,$Y$21+25,"")</f>
        <v/>
      </c>
      <c r="F26" s="24">
        <f>IF(MONTH($Y$21+26)=7,$Y$21+26,"")</f>
        <v/>
      </c>
      <c r="G26" s="24">
        <f>IF(MONTH($Y$21+27)=7,$Y$21+27,"")</f>
        <v/>
      </c>
      <c r="I26" s="23">
        <f>IF(MONTH($Z$21+21)=8,$Z$21+21,"")</f>
        <v/>
      </c>
      <c r="J26" s="23">
        <f>IF(MONTH($Z$21+22)=8,$Z$21+22,"")</f>
        <v/>
      </c>
      <c r="K26" s="23">
        <f>IF(MONTH($Z$21+23)=8,$Z$21+23,"")</f>
        <v/>
      </c>
      <c r="L26" s="23">
        <f>IF(MONTH($Z$21+24)=8,$Z$21+24,"")</f>
        <v/>
      </c>
      <c r="M26" s="23">
        <f>IF(MONTH($Z$21+25)=8,$Z$21+25,"")</f>
        <v/>
      </c>
      <c r="N26" s="24">
        <f>IF(MONTH($Z$21+26)=8,$Z$21+26,"")</f>
        <v/>
      </c>
      <c r="O26" s="24">
        <f>IF(MONTH($Z$21+27)=8,$Z$21+27,"")</f>
        <v/>
      </c>
      <c r="Q26" s="23">
        <f>IF(MONTH($AA$21+21)=9,$AA$21+21,"")</f>
        <v/>
      </c>
      <c r="R26" s="23">
        <f>IF(MONTH($AA$21+22)=9,$AA$21+22,"")</f>
        <v/>
      </c>
      <c r="S26" s="23">
        <f>IF(MONTH($AA$21+23)=9,$AA$21+23,"")</f>
        <v/>
      </c>
      <c r="T26" s="23">
        <f>IF(MONTH($AA$21+24)=9,$AA$21+24,"")</f>
        <v/>
      </c>
      <c r="U26" s="23">
        <f>IF(MONTH($AA$21+25)=9,$AA$21+25,"")</f>
        <v/>
      </c>
      <c r="V26" s="24">
        <f>IF(MONTH($AA$21+26)=9,$AA$21+26,"")</f>
        <v/>
      </c>
      <c r="W26" s="24">
        <f>IF(MONTH($AA$21+27)=9,$AA$21+27,"")</f>
        <v/>
      </c>
    </row>
    <row r="27">
      <c r="A27" s="23">
        <f>IF(MONTH($Y$21+28)=7,$Y$21+28,"")</f>
        <v/>
      </c>
      <c r="B27" s="23">
        <f>IF(MONTH($Y$21+29)=7,$Y$21+29,"")</f>
        <v/>
      </c>
      <c r="C27" s="23">
        <f>IF(MONTH($Y$21+30)=7,$Y$21+30,"")</f>
        <v/>
      </c>
      <c r="D27" s="23">
        <f>IF(MONTH($Y$21+31)=7,$Y$21+31,"")</f>
        <v/>
      </c>
      <c r="E27" s="23">
        <f>IF(MONTH($Y$21+32)=7,$Y$21+32,"")</f>
        <v/>
      </c>
      <c r="F27" s="24">
        <f>IF(MONTH($Y$21+33)=7,$Y$21+33,"")</f>
        <v/>
      </c>
      <c r="G27" s="24">
        <f>IF(MONTH($Y$21+34)=7,$Y$21+34,"")</f>
        <v/>
      </c>
      <c r="I27" s="23">
        <f>IF(MONTH($Z$21+28)=8,$Z$21+28,"")</f>
        <v/>
      </c>
      <c r="J27" s="23">
        <f>IF(MONTH($Z$21+29)=8,$Z$21+29,"")</f>
        <v/>
      </c>
      <c r="K27" s="23">
        <f>IF(MONTH($Z$21+30)=8,$Z$21+30,"")</f>
        <v/>
      </c>
      <c r="L27" s="23">
        <f>IF(MONTH($Z$21+31)=8,$Z$21+31,"")</f>
        <v/>
      </c>
      <c r="M27" s="23">
        <f>IF(MONTH($Z$21+32)=8,$Z$21+32,"")</f>
        <v/>
      </c>
      <c r="N27" s="24">
        <f>IF(MONTH($Z$21+33)=8,$Z$21+33,"")</f>
        <v/>
      </c>
      <c r="O27" s="24">
        <f>IF(MONTH($Z$21+34)=8,$Z$21+34,"")</f>
        <v/>
      </c>
      <c r="Q27" s="23">
        <f>IF(MONTH($AA$21+28)=9,$AA$21+28,"")</f>
        <v/>
      </c>
      <c r="R27" s="23">
        <f>IF(MONTH($AA$21+29)=9,$AA$21+29,"")</f>
        <v/>
      </c>
      <c r="S27" s="23">
        <f>IF(MONTH($AA$21+30)=9,$AA$21+30,"")</f>
        <v/>
      </c>
      <c r="T27" s="23">
        <f>IF(MONTH($AA$21+31)=9,$AA$21+31,"")</f>
        <v/>
      </c>
      <c r="U27" s="23">
        <f>IF(MONTH($AA$21+32)=9,$AA$21+32,"")</f>
        <v/>
      </c>
      <c r="V27" s="24">
        <f>IF(MONTH($AA$21+33)=9,$AA$21+33,"")</f>
        <v/>
      </c>
      <c r="W27" s="24">
        <f>IF(MONTH($AA$21+34)=9,$AA$21+34,"")</f>
        <v/>
      </c>
    </row>
    <row r="28">
      <c r="A28" s="23">
        <f>IF(MONTH($Y$21+35)=7,$Y$21+35,"")</f>
        <v/>
      </c>
      <c r="B28" s="23">
        <f>IF(MONTH($Y$21+36)=7,$Y$21+36,"")</f>
        <v/>
      </c>
      <c r="C28" s="23">
        <f>IF(MONTH($Y$21+37)=7,$Y$21+37,"")</f>
        <v/>
      </c>
      <c r="D28" s="23">
        <f>IF(MONTH($Y$21+38)=7,$Y$21+38,"")</f>
        <v/>
      </c>
      <c r="E28" s="23">
        <f>IF(MONTH($Y$21+39)=7,$Y$21+39,"")</f>
        <v/>
      </c>
      <c r="F28" s="24">
        <f>IF(MONTH($Y$21+40)=7,$Y$21+40,"")</f>
        <v/>
      </c>
      <c r="G28" s="24">
        <f>IF(MONTH($Y$21+41)=7,$Y$21+41,"")</f>
        <v/>
      </c>
      <c r="I28" s="23">
        <f>IF(MONTH($Z$21+35)=8,$Z$21+35,"")</f>
        <v/>
      </c>
      <c r="J28" s="23">
        <f>IF(MONTH($Z$21+36)=8,$Z$21+36,"")</f>
        <v/>
      </c>
      <c r="K28" s="23">
        <f>IF(MONTH($Z$21+37)=8,$Z$21+37,"")</f>
        <v/>
      </c>
      <c r="L28" s="23">
        <f>IF(MONTH($Z$21+38)=8,$Z$21+38,"")</f>
        <v/>
      </c>
      <c r="M28" s="23">
        <f>IF(MONTH($Z$21+39)=8,$Z$21+39,"")</f>
        <v/>
      </c>
      <c r="N28" s="24">
        <f>IF(MONTH($Z$21+40)=8,$Z$21+40,"")</f>
        <v/>
      </c>
      <c r="O28" s="24">
        <f>IF(MONTH($Z$21+41)=8,$Z$21+41,"")</f>
        <v/>
      </c>
      <c r="Q28" s="23">
        <f>IF(MONTH($AA$21+35)=9,$AA$21+35,"")</f>
        <v/>
      </c>
      <c r="R28" s="23">
        <f>IF(MONTH($AA$21+36)=9,$AA$21+36,"")</f>
        <v/>
      </c>
      <c r="S28" s="23">
        <f>IF(MONTH($AA$21+37)=9,$AA$21+37,"")</f>
        <v/>
      </c>
      <c r="T28" s="23">
        <f>IF(MONTH($AA$21+38)=9,$AA$21+38,"")</f>
        <v/>
      </c>
      <c r="U28" s="23">
        <f>IF(MONTH($AA$21+39)=9,$AA$21+39,"")</f>
        <v/>
      </c>
      <c r="V28" s="24">
        <f>IF(MONTH($AA$21+40)=9,$AA$21+40,"")</f>
        <v/>
      </c>
      <c r="W28" s="24">
        <f>IF(MONTH($AA$21+41)=9,$AA$21+41,"")</f>
        <v/>
      </c>
    </row>
    <row r="30">
      <c r="A30" s="20">
        <f>DATE($A$1,10,1)</f>
        <v/>
      </c>
      <c r="I30" s="20">
        <f>DATE($A$1,11,1)</f>
        <v/>
      </c>
      <c r="Q30" s="20">
        <f>DATE($A$1,12,1)</f>
        <v/>
      </c>
      <c r="Y30" s="21">
        <f>A30-WEEKDAY(A30,2)+1</f>
        <v/>
      </c>
      <c r="Z30" s="21">
        <f>I30-WEEKDAY(I30,2)+1</f>
        <v/>
      </c>
      <c r="AA30" s="21">
        <f>Q30-WEEKDAY(Q30,2)+1</f>
        <v/>
      </c>
    </row>
    <row r="31">
      <c r="A31" s="22" t="inlineStr">
        <is>
          <t>L</t>
        </is>
      </c>
      <c r="B31" s="22" t="inlineStr">
        <is>
          <t>M</t>
        </is>
      </c>
      <c r="C31" s="22" t="inlineStr">
        <is>
          <t>M</t>
        </is>
      </c>
      <c r="D31" s="22" t="inlineStr">
        <is>
          <t>J</t>
        </is>
      </c>
      <c r="E31" s="22" t="inlineStr">
        <is>
          <t>V</t>
        </is>
      </c>
      <c r="F31" s="22" t="inlineStr">
        <is>
          <t>S</t>
        </is>
      </c>
      <c r="G31" s="22" t="inlineStr">
        <is>
          <t>D</t>
        </is>
      </c>
      <c r="I31" s="22" t="inlineStr">
        <is>
          <t>L</t>
        </is>
      </c>
      <c r="J31" s="22" t="inlineStr">
        <is>
          <t>M</t>
        </is>
      </c>
      <c r="K31" s="22" t="inlineStr">
        <is>
          <t>M</t>
        </is>
      </c>
      <c r="L31" s="22" t="inlineStr">
        <is>
          <t>J</t>
        </is>
      </c>
      <c r="M31" s="22" t="inlineStr">
        <is>
          <t>V</t>
        </is>
      </c>
      <c r="N31" s="22" t="inlineStr">
        <is>
          <t>S</t>
        </is>
      </c>
      <c r="O31" s="22" t="inlineStr">
        <is>
          <t>D</t>
        </is>
      </c>
      <c r="Q31" s="22" t="inlineStr">
        <is>
          <t>L</t>
        </is>
      </c>
      <c r="R31" s="22" t="inlineStr">
        <is>
          <t>M</t>
        </is>
      </c>
      <c r="S31" s="22" t="inlineStr">
        <is>
          <t>M</t>
        </is>
      </c>
      <c r="T31" s="22" t="inlineStr">
        <is>
          <t>J</t>
        </is>
      </c>
      <c r="U31" s="22" t="inlineStr">
        <is>
          <t>V</t>
        </is>
      </c>
      <c r="V31" s="22" t="inlineStr">
        <is>
          <t>S</t>
        </is>
      </c>
      <c r="W31" s="22" t="inlineStr">
        <is>
          <t>D</t>
        </is>
      </c>
    </row>
    <row r="32">
      <c r="A32" s="23">
        <f>IF(MONTH($Y$30+0)=10,$Y$30+0,"")</f>
        <v/>
      </c>
      <c r="B32" s="23">
        <f>IF(MONTH($Y$30+1)=10,$Y$30+1,"")</f>
        <v/>
      </c>
      <c r="C32" s="23">
        <f>IF(MONTH($Y$30+2)=10,$Y$30+2,"")</f>
        <v/>
      </c>
      <c r="D32" s="23">
        <f>IF(MONTH($Y$30+3)=10,$Y$30+3,"")</f>
        <v/>
      </c>
      <c r="E32" s="23">
        <f>IF(MONTH($Y$30+4)=10,$Y$30+4,"")</f>
        <v/>
      </c>
      <c r="F32" s="24">
        <f>IF(MONTH($Y$30+5)=10,$Y$30+5,"")</f>
        <v/>
      </c>
      <c r="G32" s="24">
        <f>IF(MONTH($Y$30+6)=10,$Y$30+6,"")</f>
        <v/>
      </c>
      <c r="I32" s="23">
        <f>IF(MONTH($Z$30+0)=11,$Z$30+0,"")</f>
        <v/>
      </c>
      <c r="J32" s="23">
        <f>IF(MONTH($Z$30+1)=11,$Z$30+1,"")</f>
        <v/>
      </c>
      <c r="K32" s="23">
        <f>IF(MONTH($Z$30+2)=11,$Z$30+2,"")</f>
        <v/>
      </c>
      <c r="L32" s="23">
        <f>IF(MONTH($Z$30+3)=11,$Z$30+3,"")</f>
        <v/>
      </c>
      <c r="M32" s="23">
        <f>IF(MONTH($Z$30+4)=11,$Z$30+4,"")</f>
        <v/>
      </c>
      <c r="N32" s="24">
        <f>IF(MONTH($Z$30+5)=11,$Z$30+5,"")</f>
        <v/>
      </c>
      <c r="O32" s="24">
        <f>IF(MONTH($Z$30+6)=11,$Z$30+6,"")</f>
        <v/>
      </c>
      <c r="Q32" s="23">
        <f>IF(MONTH($AA$30+0)=12,$AA$30+0,"")</f>
        <v/>
      </c>
      <c r="R32" s="23">
        <f>IF(MONTH($AA$30+1)=12,$AA$30+1,"")</f>
        <v/>
      </c>
      <c r="S32" s="23">
        <f>IF(MONTH($AA$30+2)=12,$AA$30+2,"")</f>
        <v/>
      </c>
      <c r="T32" s="23">
        <f>IF(MONTH($AA$30+3)=12,$AA$30+3,"")</f>
        <v/>
      </c>
      <c r="U32" s="23">
        <f>IF(MONTH($AA$30+4)=12,$AA$30+4,"")</f>
        <v/>
      </c>
      <c r="V32" s="24">
        <f>IF(MONTH($AA$30+5)=12,$AA$30+5,"")</f>
        <v/>
      </c>
      <c r="W32" s="24">
        <f>IF(MONTH($AA$30+6)=12,$AA$30+6,"")</f>
        <v/>
      </c>
    </row>
    <row r="33">
      <c r="A33" s="23">
        <f>IF(MONTH($Y$30+7)=10,$Y$30+7,"")</f>
        <v/>
      </c>
      <c r="B33" s="23">
        <f>IF(MONTH($Y$30+8)=10,$Y$30+8,"")</f>
        <v/>
      </c>
      <c r="C33" s="23">
        <f>IF(MONTH($Y$30+9)=10,$Y$30+9,"")</f>
        <v/>
      </c>
      <c r="D33" s="23">
        <f>IF(MONTH($Y$30+10)=10,$Y$30+10,"")</f>
        <v/>
      </c>
      <c r="E33" s="23">
        <f>IF(MONTH($Y$30+11)=10,$Y$30+11,"")</f>
        <v/>
      </c>
      <c r="F33" s="24">
        <f>IF(MONTH($Y$30+12)=10,$Y$30+12,"")</f>
        <v/>
      </c>
      <c r="G33" s="24">
        <f>IF(MONTH($Y$30+13)=10,$Y$30+13,"")</f>
        <v/>
      </c>
      <c r="I33" s="23">
        <f>IF(MONTH($Z$30+7)=11,$Z$30+7,"")</f>
        <v/>
      </c>
      <c r="J33" s="23">
        <f>IF(MONTH($Z$30+8)=11,$Z$30+8,"")</f>
        <v/>
      </c>
      <c r="K33" s="23">
        <f>IF(MONTH($Z$30+9)=11,$Z$30+9,"")</f>
        <v/>
      </c>
      <c r="L33" s="23">
        <f>IF(MONTH($Z$30+10)=11,$Z$30+10,"")</f>
        <v/>
      </c>
      <c r="M33" s="23">
        <f>IF(MONTH($Z$30+11)=11,$Z$30+11,"")</f>
        <v/>
      </c>
      <c r="N33" s="24">
        <f>IF(MONTH($Z$30+12)=11,$Z$30+12,"")</f>
        <v/>
      </c>
      <c r="O33" s="24">
        <f>IF(MONTH($Z$30+13)=11,$Z$30+13,"")</f>
        <v/>
      </c>
      <c r="Q33" s="23">
        <f>IF(MONTH($AA$30+7)=12,$AA$30+7,"")</f>
        <v/>
      </c>
      <c r="R33" s="23">
        <f>IF(MONTH($AA$30+8)=12,$AA$30+8,"")</f>
        <v/>
      </c>
      <c r="S33" s="23">
        <f>IF(MONTH($AA$30+9)=12,$AA$30+9,"")</f>
        <v/>
      </c>
      <c r="T33" s="23">
        <f>IF(MONTH($AA$30+10)=12,$AA$30+10,"")</f>
        <v/>
      </c>
      <c r="U33" s="23">
        <f>IF(MONTH($AA$30+11)=12,$AA$30+11,"")</f>
        <v/>
      </c>
      <c r="V33" s="24">
        <f>IF(MONTH($AA$30+12)=12,$AA$30+12,"")</f>
        <v/>
      </c>
      <c r="W33" s="24">
        <f>IF(MONTH($AA$30+13)=12,$AA$30+13,"")</f>
        <v/>
      </c>
    </row>
    <row r="34">
      <c r="A34" s="23">
        <f>IF(MONTH($Y$30+14)=10,$Y$30+14,"")</f>
        <v/>
      </c>
      <c r="B34" s="23">
        <f>IF(MONTH($Y$30+15)=10,$Y$30+15,"")</f>
        <v/>
      </c>
      <c r="C34" s="23">
        <f>IF(MONTH($Y$30+16)=10,$Y$30+16,"")</f>
        <v/>
      </c>
      <c r="D34" s="23">
        <f>IF(MONTH($Y$30+17)=10,$Y$30+17,"")</f>
        <v/>
      </c>
      <c r="E34" s="23">
        <f>IF(MONTH($Y$30+18)=10,$Y$30+18,"")</f>
        <v/>
      </c>
      <c r="F34" s="24">
        <f>IF(MONTH($Y$30+19)=10,$Y$30+19,"")</f>
        <v/>
      </c>
      <c r="G34" s="24">
        <f>IF(MONTH($Y$30+20)=10,$Y$30+20,"")</f>
        <v/>
      </c>
      <c r="I34" s="23">
        <f>IF(MONTH($Z$30+14)=11,$Z$30+14,"")</f>
        <v/>
      </c>
      <c r="J34" s="23">
        <f>IF(MONTH($Z$30+15)=11,$Z$30+15,"")</f>
        <v/>
      </c>
      <c r="K34" s="23">
        <f>IF(MONTH($Z$30+16)=11,$Z$30+16,"")</f>
        <v/>
      </c>
      <c r="L34" s="23">
        <f>IF(MONTH($Z$30+17)=11,$Z$30+17,"")</f>
        <v/>
      </c>
      <c r="M34" s="23">
        <f>IF(MONTH($Z$30+18)=11,$Z$30+18,"")</f>
        <v/>
      </c>
      <c r="N34" s="24">
        <f>IF(MONTH($Z$30+19)=11,$Z$30+19,"")</f>
        <v/>
      </c>
      <c r="O34" s="24">
        <f>IF(MONTH($Z$30+20)=11,$Z$30+20,"")</f>
        <v/>
      </c>
      <c r="Q34" s="23">
        <f>IF(MONTH($AA$30+14)=12,$AA$30+14,"")</f>
        <v/>
      </c>
      <c r="R34" s="23">
        <f>IF(MONTH($AA$30+15)=12,$AA$30+15,"")</f>
        <v/>
      </c>
      <c r="S34" s="23">
        <f>IF(MONTH($AA$30+16)=12,$AA$30+16,"")</f>
        <v/>
      </c>
      <c r="T34" s="23">
        <f>IF(MONTH($AA$30+17)=12,$AA$30+17,"")</f>
        <v/>
      </c>
      <c r="U34" s="23">
        <f>IF(MONTH($AA$30+18)=12,$AA$30+18,"")</f>
        <v/>
      </c>
      <c r="V34" s="24">
        <f>IF(MONTH($AA$30+19)=12,$AA$30+19,"")</f>
        <v/>
      </c>
      <c r="W34" s="24">
        <f>IF(MONTH($AA$30+20)=12,$AA$30+20,"")</f>
        <v/>
      </c>
    </row>
    <row r="35">
      <c r="A35" s="23">
        <f>IF(MONTH($Y$30+21)=10,$Y$30+21,"")</f>
        <v/>
      </c>
      <c r="B35" s="23">
        <f>IF(MONTH($Y$30+22)=10,$Y$30+22,"")</f>
        <v/>
      </c>
      <c r="C35" s="23">
        <f>IF(MONTH($Y$30+23)=10,$Y$30+23,"")</f>
        <v/>
      </c>
      <c r="D35" s="23">
        <f>IF(MONTH($Y$30+24)=10,$Y$30+24,"")</f>
        <v/>
      </c>
      <c r="E35" s="23">
        <f>IF(MONTH($Y$30+25)=10,$Y$30+25,"")</f>
        <v/>
      </c>
      <c r="F35" s="24">
        <f>IF(MONTH($Y$30+26)=10,$Y$30+26,"")</f>
        <v/>
      </c>
      <c r="G35" s="24">
        <f>IF(MONTH($Y$30+27)=10,$Y$30+27,"")</f>
        <v/>
      </c>
      <c r="I35" s="23">
        <f>IF(MONTH($Z$30+21)=11,$Z$30+21,"")</f>
        <v/>
      </c>
      <c r="J35" s="23">
        <f>IF(MONTH($Z$30+22)=11,$Z$30+22,"")</f>
        <v/>
      </c>
      <c r="K35" s="23">
        <f>IF(MONTH($Z$30+23)=11,$Z$30+23,"")</f>
        <v/>
      </c>
      <c r="L35" s="23">
        <f>IF(MONTH($Z$30+24)=11,$Z$30+24,"")</f>
        <v/>
      </c>
      <c r="M35" s="23">
        <f>IF(MONTH($Z$30+25)=11,$Z$30+25,"")</f>
        <v/>
      </c>
      <c r="N35" s="24">
        <f>IF(MONTH($Z$30+26)=11,$Z$30+26,"")</f>
        <v/>
      </c>
      <c r="O35" s="24">
        <f>IF(MONTH($Z$30+27)=11,$Z$30+27,"")</f>
        <v/>
      </c>
      <c r="Q35" s="23">
        <f>IF(MONTH($AA$30+21)=12,$AA$30+21,"")</f>
        <v/>
      </c>
      <c r="R35" s="23">
        <f>IF(MONTH($AA$30+22)=12,$AA$30+22,"")</f>
        <v/>
      </c>
      <c r="S35" s="23">
        <f>IF(MONTH($AA$30+23)=12,$AA$30+23,"")</f>
        <v/>
      </c>
      <c r="T35" s="23">
        <f>IF(MONTH($AA$30+24)=12,$AA$30+24,"")</f>
        <v/>
      </c>
      <c r="U35" s="23">
        <f>IF(MONTH($AA$30+25)=12,$AA$30+25,"")</f>
        <v/>
      </c>
      <c r="V35" s="24">
        <f>IF(MONTH($AA$30+26)=12,$AA$30+26,"")</f>
        <v/>
      </c>
      <c r="W35" s="24">
        <f>IF(MONTH($AA$30+27)=12,$AA$30+27,"")</f>
        <v/>
      </c>
    </row>
    <row r="36">
      <c r="A36" s="23">
        <f>IF(MONTH($Y$30+28)=10,$Y$30+28,"")</f>
        <v/>
      </c>
      <c r="B36" s="23">
        <f>IF(MONTH($Y$30+29)=10,$Y$30+29,"")</f>
        <v/>
      </c>
      <c r="C36" s="23">
        <f>IF(MONTH($Y$30+30)=10,$Y$30+30,"")</f>
        <v/>
      </c>
      <c r="D36" s="23">
        <f>IF(MONTH($Y$30+31)=10,$Y$30+31,"")</f>
        <v/>
      </c>
      <c r="E36" s="23">
        <f>IF(MONTH($Y$30+32)=10,$Y$30+32,"")</f>
        <v/>
      </c>
      <c r="F36" s="24">
        <f>IF(MONTH($Y$30+33)=10,$Y$30+33,"")</f>
        <v/>
      </c>
      <c r="G36" s="24">
        <f>IF(MONTH($Y$30+34)=10,$Y$30+34,"")</f>
        <v/>
      </c>
      <c r="I36" s="23">
        <f>IF(MONTH($Z$30+28)=11,$Z$30+28,"")</f>
        <v/>
      </c>
      <c r="J36" s="23">
        <f>IF(MONTH($Z$30+29)=11,$Z$30+29,"")</f>
        <v/>
      </c>
      <c r="K36" s="23">
        <f>IF(MONTH($Z$30+30)=11,$Z$30+30,"")</f>
        <v/>
      </c>
      <c r="L36" s="23">
        <f>IF(MONTH($Z$30+31)=11,$Z$30+31,"")</f>
        <v/>
      </c>
      <c r="M36" s="23">
        <f>IF(MONTH($Z$30+32)=11,$Z$30+32,"")</f>
        <v/>
      </c>
      <c r="N36" s="24">
        <f>IF(MONTH($Z$30+33)=11,$Z$30+33,"")</f>
        <v/>
      </c>
      <c r="O36" s="24">
        <f>IF(MONTH($Z$30+34)=11,$Z$30+34,"")</f>
        <v/>
      </c>
      <c r="Q36" s="23">
        <f>IF(MONTH($AA$30+28)=12,$AA$30+28,"")</f>
        <v/>
      </c>
      <c r="R36" s="23">
        <f>IF(MONTH($AA$30+29)=12,$AA$30+29,"")</f>
        <v/>
      </c>
      <c r="S36" s="23">
        <f>IF(MONTH($AA$30+30)=12,$AA$30+30,"")</f>
        <v/>
      </c>
      <c r="T36" s="23">
        <f>IF(MONTH($AA$30+31)=12,$AA$30+31,"")</f>
        <v/>
      </c>
      <c r="U36" s="23">
        <f>IF(MONTH($AA$30+32)=12,$AA$30+32,"")</f>
        <v/>
      </c>
      <c r="V36" s="24">
        <f>IF(MONTH($AA$30+33)=12,$AA$30+33,"")</f>
        <v/>
      </c>
      <c r="W36" s="24">
        <f>IF(MONTH($AA$30+34)=12,$AA$30+34,"")</f>
        <v/>
      </c>
    </row>
    <row r="37">
      <c r="A37" s="23">
        <f>IF(MONTH($Y$30+35)=10,$Y$30+35,"")</f>
        <v/>
      </c>
      <c r="B37" s="23">
        <f>IF(MONTH($Y$30+36)=10,$Y$30+36,"")</f>
        <v/>
      </c>
      <c r="C37" s="23">
        <f>IF(MONTH($Y$30+37)=10,$Y$30+37,"")</f>
        <v/>
      </c>
      <c r="D37" s="23">
        <f>IF(MONTH($Y$30+38)=10,$Y$30+38,"")</f>
        <v/>
      </c>
      <c r="E37" s="23">
        <f>IF(MONTH($Y$30+39)=10,$Y$30+39,"")</f>
        <v/>
      </c>
      <c r="F37" s="24">
        <f>IF(MONTH($Y$30+40)=10,$Y$30+40,"")</f>
        <v/>
      </c>
      <c r="G37" s="24">
        <f>IF(MONTH($Y$30+41)=10,$Y$30+41,"")</f>
        <v/>
      </c>
      <c r="I37" s="23">
        <f>IF(MONTH($Z$30+35)=11,$Z$30+35,"")</f>
        <v/>
      </c>
      <c r="J37" s="23">
        <f>IF(MONTH($Z$30+36)=11,$Z$30+36,"")</f>
        <v/>
      </c>
      <c r="K37" s="23">
        <f>IF(MONTH($Z$30+37)=11,$Z$30+37,"")</f>
        <v/>
      </c>
      <c r="L37" s="23">
        <f>IF(MONTH($Z$30+38)=11,$Z$30+38,"")</f>
        <v/>
      </c>
      <c r="M37" s="23">
        <f>IF(MONTH($Z$30+39)=11,$Z$30+39,"")</f>
        <v/>
      </c>
      <c r="N37" s="24">
        <f>IF(MONTH($Z$30+40)=11,$Z$30+40,"")</f>
        <v/>
      </c>
      <c r="O37" s="24">
        <f>IF(MONTH($Z$30+41)=11,$Z$30+41,"")</f>
        <v/>
      </c>
      <c r="Q37" s="23">
        <f>IF(MONTH($AA$30+35)=12,$AA$30+35,"")</f>
        <v/>
      </c>
      <c r="R37" s="23">
        <f>IF(MONTH($AA$30+36)=12,$AA$30+36,"")</f>
        <v/>
      </c>
      <c r="S37" s="23">
        <f>IF(MONTH($AA$30+37)=12,$AA$30+37,"")</f>
        <v/>
      </c>
      <c r="T37" s="23">
        <f>IF(MONTH($AA$30+38)=12,$AA$30+38,"")</f>
        <v/>
      </c>
      <c r="U37" s="23">
        <f>IF(MONTH($AA$30+39)=12,$AA$30+39,"")</f>
        <v/>
      </c>
      <c r="V37" s="24">
        <f>IF(MONTH($AA$30+40)=12,$AA$30+40,"")</f>
        <v/>
      </c>
      <c r="W37" s="24">
        <f>IF(MONTH($AA$30+41)=12,$AA$30+41,"")</f>
        <v/>
      </c>
    </row>
  </sheetData>
  <mergeCells count="12">
    <mergeCell ref="Q30:W30"/>
    <mergeCell ref="A3:G3"/>
    <mergeCell ref="A21:G21"/>
    <mergeCell ref="I3:O3"/>
    <mergeCell ref="A12:G12"/>
    <mergeCell ref="I21:O21"/>
    <mergeCell ref="I30:O30"/>
    <mergeCell ref="I12:O12"/>
    <mergeCell ref="Q12:W12"/>
    <mergeCell ref="A30:G30"/>
    <mergeCell ref="Q3:W3"/>
    <mergeCell ref="Q21:W21"/>
  </mergeCells>
  <conditionalFormatting sqref="A5:G10">
    <cfRule type="expression" priority="1" dxfId="10">
      <formula>AND(ISNUMBER(A5),COUNTIF(Feries,A5)&gt;0)</formula>
    </cfRule>
    <cfRule type="expression" priority="2" dxfId="11">
      <formula>AND(ISNUMBER(A5),A5=TODAY())</formula>
    </cfRule>
  </conditionalFormatting>
  <conditionalFormatting sqref="I5:O10">
    <cfRule type="expression" priority="3" dxfId="10">
      <formula>AND(ISNUMBER(I5),COUNTIF(Feries,I5)&gt;0)</formula>
    </cfRule>
    <cfRule type="expression" priority="4" dxfId="11">
      <formula>AND(ISNUMBER(I5),I5=TODAY())</formula>
    </cfRule>
  </conditionalFormatting>
  <conditionalFormatting sqref="Q5:W10">
    <cfRule type="expression" priority="5" dxfId="10">
      <formula>AND(ISNUMBER(Q5),COUNTIF(Feries,Q5)&gt;0)</formula>
    </cfRule>
    <cfRule type="expression" priority="6" dxfId="11">
      <formula>AND(ISNUMBER(Q5),Q5=TODAY())</formula>
    </cfRule>
  </conditionalFormatting>
  <conditionalFormatting sqref="A14:G19">
    <cfRule type="expression" priority="7" dxfId="10">
      <formula>AND(ISNUMBER(A14),COUNTIF(Feries,A14)&gt;0)</formula>
    </cfRule>
    <cfRule type="expression" priority="8" dxfId="11">
      <formula>AND(ISNUMBER(A14),A14=TODAY())</formula>
    </cfRule>
  </conditionalFormatting>
  <conditionalFormatting sqref="I14:O19">
    <cfRule type="expression" priority="9" dxfId="10">
      <formula>AND(ISNUMBER(I14),COUNTIF(Feries,I14)&gt;0)</formula>
    </cfRule>
    <cfRule type="expression" priority="10" dxfId="11">
      <formula>AND(ISNUMBER(I14),I14=TODAY())</formula>
    </cfRule>
  </conditionalFormatting>
  <conditionalFormatting sqref="Q14:W19">
    <cfRule type="expression" priority="11" dxfId="10">
      <formula>AND(ISNUMBER(Q14),COUNTIF(Feries,Q14)&gt;0)</formula>
    </cfRule>
    <cfRule type="expression" priority="12" dxfId="11">
      <formula>AND(ISNUMBER(Q14),Q14=TODAY())</formula>
    </cfRule>
  </conditionalFormatting>
  <conditionalFormatting sqref="A23:G28">
    <cfRule type="expression" priority="13" dxfId="10">
      <formula>AND(ISNUMBER(A23),COUNTIF(Feries,A23)&gt;0)</formula>
    </cfRule>
    <cfRule type="expression" priority="14" dxfId="11">
      <formula>AND(ISNUMBER(A23),A23=TODAY())</formula>
    </cfRule>
  </conditionalFormatting>
  <conditionalFormatting sqref="I23:O28">
    <cfRule type="expression" priority="15" dxfId="10">
      <formula>AND(ISNUMBER(I23),COUNTIF(Feries,I23)&gt;0)</formula>
    </cfRule>
    <cfRule type="expression" priority="16" dxfId="11">
      <formula>AND(ISNUMBER(I23),I23=TODAY())</formula>
    </cfRule>
  </conditionalFormatting>
  <conditionalFormatting sqref="Q23:W28">
    <cfRule type="expression" priority="17" dxfId="10">
      <formula>AND(ISNUMBER(Q23),COUNTIF(Feries,Q23)&gt;0)</formula>
    </cfRule>
    <cfRule type="expression" priority="18" dxfId="11">
      <formula>AND(ISNUMBER(Q23),Q23=TODAY())</formula>
    </cfRule>
  </conditionalFormatting>
  <conditionalFormatting sqref="A32:G37">
    <cfRule type="expression" priority="19" dxfId="10">
      <formula>AND(ISNUMBER(A32),COUNTIF(Feries,A32)&gt;0)</formula>
    </cfRule>
    <cfRule type="expression" priority="20" dxfId="11">
      <formula>AND(ISNUMBER(A32),A32=TODAY())</formula>
    </cfRule>
  </conditionalFormatting>
  <conditionalFormatting sqref="I32:O37">
    <cfRule type="expression" priority="21" dxfId="10">
      <formula>AND(ISNUMBER(I32),COUNTIF(Feries,I32)&gt;0)</formula>
    </cfRule>
    <cfRule type="expression" priority="22" dxfId="11">
      <formula>AND(ISNUMBER(I32),I32=TODAY())</formula>
    </cfRule>
  </conditionalFormatting>
  <conditionalFormatting sqref="Q32:W37">
    <cfRule type="expression" priority="23" dxfId="10">
      <formula>AND(ISNUMBER(Q32),COUNTIF(Feries,Q32)&gt;0)</formula>
    </cfRule>
    <cfRule type="expression" priority="24" dxfId="11">
      <formula>AND(ISNUMBER(Q32),Q32=TODAY())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2026-11-03T08:19:09Z</dcterms:created>
  <dcterms:modified xmlns:dcterms="http://purl.org/dc/terms/" xmlns:xsi="http://www.w3.org/2001/XMLSchema-instance" xsi:type="dcterms:W3CDTF">2026-11-03T08:19:09Z</dcterms:modified>
</cp:coreProperties>
</file>